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965" yWindow="765" windowWidth="11355" windowHeight="8700" tabRatio="782" firstSheet="4" activeTab="4"/>
  </bookViews>
  <sheets>
    <sheet name="ผด1สนป." sheetId="1" r:id="rId1"/>
    <sheet name="ผด.1คลัง" sheetId="4" r:id="rId2"/>
    <sheet name="ผด.1ศึกษา" sheetId="5" r:id="rId3"/>
    <sheet name="ผด.1กองช่าง" sheetId="3" r:id="rId4"/>
    <sheet name="ผด2" sheetId="7" r:id="rId5"/>
    <sheet name="เงินอุดหนุนเฉพาะกิจ" sheetId="28" r:id="rId6"/>
    <sheet name="แผนเพิ่มเติม" sheetId="16" r:id="rId7"/>
    <sheet name="ผด3ไตร1" sheetId="8" r:id="rId8"/>
    <sheet name="ผด3ไตร2" sheetId="15" r:id="rId9"/>
    <sheet name="ผด3ไตร3" sheetId="9" r:id="rId10"/>
    <sheet name="รายการ" sheetId="14" r:id="rId11"/>
    <sheet name="สรุปแผน2-60" sheetId="30" r:id="rId12"/>
    <sheet name="ทำสรุปส่งอำเภอ" sheetId="29" r:id="rId13"/>
    <sheet name="ผด4ไม่ส่งทำเก็บไว้" sheetId="13" r:id="rId14"/>
    <sheet name="ผด5ครุภัณฑ์เกินแสนที่ดินเกินล้า" sheetId="12" r:id="rId15"/>
    <sheet name="ผด6" sheetId="11" r:id="rId16"/>
    <sheet name="สตงไตร1" sheetId="20" r:id="rId17"/>
    <sheet name="งวด1" sheetId="23" r:id="rId18"/>
    <sheet name="งวด2" sheetId="24" r:id="rId19"/>
    <sheet name="งวด3" sheetId="26" r:id="rId20"/>
  </sheets>
  <definedNames>
    <definedName name="_xlnm.Print_Area" localSheetId="5">เงินอุดหนุนเฉพาะกิจ!$A$1:$J$14</definedName>
    <definedName name="_xlnm.Print_Area" localSheetId="12">ทำสรุปส่งอำเภอ!$A$1:$P$122</definedName>
    <definedName name="_xlnm.Print_Area" localSheetId="3">ผด.1กองช่าง!$A$1:$J$42</definedName>
    <definedName name="_xlnm.Print_Area" localSheetId="1">ผด.1คลัง!$A$1:$J$26</definedName>
    <definedName name="_xlnm.Print_Area" localSheetId="2">ผด.1ศึกษา!$A$1:$J$40</definedName>
    <definedName name="_xlnm.Print_Area" localSheetId="0">ผด1สนป.!$A$1:$J$54</definedName>
    <definedName name="_xlnm.Print_Area" localSheetId="7">ผด3ไตร1!$A$1:$P$123</definedName>
    <definedName name="_xlnm.Print_Area" localSheetId="8">ผด3ไตร2!$A$1:$P$122</definedName>
    <definedName name="_xlnm.Print_Area" localSheetId="9">ผด3ไตร3!$A$1:$P$122</definedName>
    <definedName name="_xlnm.Print_Area" localSheetId="13">ผด4ไม่ส่งทำเก็บไว้!$A$1:$H$309</definedName>
    <definedName name="_xlnm.Print_Area" localSheetId="15">ผด6!$A$1:$O$62</definedName>
    <definedName name="_xlnm.Print_Area" localSheetId="6">แผนเพิ่มเติม!$A$1:$K$15</definedName>
    <definedName name="_xlnm.Print_Titles" localSheetId="12">ทำสรุปส่งอำเภอ!$6:$7</definedName>
    <definedName name="_xlnm.Print_Titles" localSheetId="3">ผด.1กองช่าง!$4:$5</definedName>
    <definedName name="_xlnm.Print_Titles" localSheetId="1">ผด.1คลัง!$4:$5</definedName>
    <definedName name="_xlnm.Print_Titles" localSheetId="2">ผด.1ศึกษา!$4:$5</definedName>
    <definedName name="_xlnm.Print_Titles" localSheetId="0">ผด1สนป.!$4:$5</definedName>
    <definedName name="_xlnm.Print_Titles" localSheetId="4">ผด2!$4:$5</definedName>
    <definedName name="_xlnm.Print_Titles" localSheetId="7">ผด3ไตร1!$6:$7</definedName>
    <definedName name="_xlnm.Print_Titles" localSheetId="8">ผด3ไตร2!$6:$7</definedName>
    <definedName name="_xlnm.Print_Titles" localSheetId="9">ผด3ไตร3!$6:$7</definedName>
    <definedName name="_xlnm.Print_Titles" localSheetId="13">ผด4ไม่ส่งทำเก็บไว้!$3:$3</definedName>
    <definedName name="_xlnm.Print_Titles" localSheetId="6">แผนเพิ่มเติม!$4:$5</definedName>
  </definedNames>
  <calcPr calcId="125725"/>
</workbook>
</file>

<file path=xl/calcChain.xml><?xml version="1.0" encoding="utf-8"?>
<calcChain xmlns="http://schemas.openxmlformats.org/spreadsheetml/2006/main">
  <c r="D13" i="30"/>
  <c r="C13"/>
  <c r="N28" i="11"/>
  <c r="N27"/>
  <c r="N9"/>
  <c r="N8"/>
  <c r="N109" i="29"/>
  <c r="N108"/>
  <c r="N107"/>
  <c r="N106"/>
  <c r="N105"/>
  <c r="N104"/>
  <c r="N103"/>
  <c r="F102"/>
  <c r="F100"/>
  <c r="N100" s="1"/>
  <c r="F99"/>
  <c r="N99" s="1"/>
  <c r="F98"/>
  <c r="N98" s="1"/>
  <c r="N97"/>
  <c r="F96"/>
  <c r="N96" s="1"/>
  <c r="N95"/>
  <c r="N94"/>
  <c r="F93"/>
  <c r="N91"/>
  <c r="F91"/>
  <c r="N90"/>
  <c r="F90"/>
  <c r="F89"/>
  <c r="N89" s="1"/>
  <c r="F88"/>
  <c r="N88" s="1"/>
  <c r="N87"/>
  <c r="N86"/>
  <c r="N85"/>
  <c r="N84"/>
  <c r="N83"/>
  <c r="N82"/>
  <c r="N81"/>
  <c r="N80"/>
  <c r="F80"/>
  <c r="F79"/>
  <c r="N79"/>
  <c r="F78"/>
  <c r="F77"/>
  <c r="F76"/>
  <c r="F75"/>
  <c r="F73"/>
  <c r="F72"/>
  <c r="F71"/>
  <c r="F70"/>
  <c r="M67"/>
  <c r="N67" s="1"/>
  <c r="F67"/>
  <c r="F65"/>
  <c r="N65"/>
  <c r="F64"/>
  <c r="N64" s="1"/>
  <c r="F63"/>
  <c r="F62"/>
  <c r="F60"/>
  <c r="N59"/>
  <c r="F59"/>
  <c r="N58"/>
  <c r="F57"/>
  <c r="N57" s="1"/>
  <c r="N56"/>
  <c r="F56"/>
  <c r="F55"/>
  <c r="F53"/>
  <c r="N51"/>
  <c r="F51"/>
  <c r="N50"/>
  <c r="N49"/>
  <c r="F49"/>
  <c r="F48"/>
  <c r="N48" s="1"/>
  <c r="F47"/>
  <c r="F46"/>
  <c r="F45"/>
  <c r="F44"/>
  <c r="F43"/>
  <c r="F42"/>
  <c r="N41"/>
  <c r="F39"/>
  <c r="F38"/>
  <c r="F37"/>
  <c r="F36"/>
  <c r="F34"/>
  <c r="F33"/>
  <c r="F32"/>
  <c r="F31"/>
  <c r="N30"/>
  <c r="N29"/>
  <c r="F27"/>
  <c r="F26"/>
  <c r="F25"/>
  <c r="M23"/>
  <c r="N23" s="1"/>
  <c r="F23"/>
  <c r="F22"/>
  <c r="F21"/>
  <c r="F20"/>
  <c r="N20" s="1"/>
  <c r="F19"/>
  <c r="N19" s="1"/>
  <c r="N18"/>
  <c r="F18"/>
  <c r="F17"/>
  <c r="N17"/>
  <c r="F16"/>
  <c r="N16" s="1"/>
  <c r="F15"/>
  <c r="N15" s="1"/>
  <c r="N14"/>
  <c r="F14"/>
  <c r="F13"/>
  <c r="N13"/>
  <c r="N11"/>
  <c r="F10"/>
  <c r="N10" s="1"/>
  <c r="F9"/>
  <c r="F77" i="9"/>
  <c r="F75"/>
  <c r="F71"/>
  <c r="F62"/>
  <c r="F63"/>
  <c r="F60"/>
  <c r="F46"/>
  <c r="F44"/>
  <c r="F43"/>
  <c r="F39"/>
  <c r="F22"/>
  <c r="N109"/>
  <c r="N108"/>
  <c r="N107"/>
  <c r="N106"/>
  <c r="N105"/>
  <c r="N104"/>
  <c r="N103"/>
  <c r="F102"/>
  <c r="F100"/>
  <c r="N100" s="1"/>
  <c r="N99"/>
  <c r="F99"/>
  <c r="F98"/>
  <c r="N98" s="1"/>
  <c r="N97"/>
  <c r="F96"/>
  <c r="N96" s="1"/>
  <c r="N95"/>
  <c r="N94"/>
  <c r="F93"/>
  <c r="F91"/>
  <c r="N91" s="1"/>
  <c r="F90"/>
  <c r="N90" s="1"/>
  <c r="F89"/>
  <c r="N89" s="1"/>
  <c r="F88"/>
  <c r="N88" s="1"/>
  <c r="N87"/>
  <c r="N86"/>
  <c r="N85"/>
  <c r="N84"/>
  <c r="N83"/>
  <c r="N82"/>
  <c r="N81"/>
  <c r="F80"/>
  <c r="N80" s="1"/>
  <c r="F79"/>
  <c r="N79" s="1"/>
  <c r="F78"/>
  <c r="F76"/>
  <c r="F73"/>
  <c r="F72"/>
  <c r="F70"/>
  <c r="F67"/>
  <c r="F65"/>
  <c r="N65" s="1"/>
  <c r="N64"/>
  <c r="F64"/>
  <c r="F59"/>
  <c r="N59" s="1"/>
  <c r="N58"/>
  <c r="F57"/>
  <c r="N57" s="1"/>
  <c r="F56"/>
  <c r="N56" s="1"/>
  <c r="F55"/>
  <c r="F53"/>
  <c r="F51"/>
  <c r="N51"/>
  <c r="N50"/>
  <c r="F49"/>
  <c r="N49" s="1"/>
  <c r="N48"/>
  <c r="F48"/>
  <c r="F47"/>
  <c r="F45"/>
  <c r="F42"/>
  <c r="N41"/>
  <c r="F38"/>
  <c r="F37"/>
  <c r="F36"/>
  <c r="F34"/>
  <c r="F33"/>
  <c r="F32"/>
  <c r="F31"/>
  <c r="N30"/>
  <c r="N29"/>
  <c r="F27"/>
  <c r="F26"/>
  <c r="F25"/>
  <c r="M23"/>
  <c r="N23" s="1"/>
  <c r="F23"/>
  <c r="F21"/>
  <c r="F20"/>
  <c r="N20" s="1"/>
  <c r="F19"/>
  <c r="N19" s="1"/>
  <c r="F18"/>
  <c r="N18" s="1"/>
  <c r="F17"/>
  <c r="N17" s="1"/>
  <c r="F16"/>
  <c r="N16" s="1"/>
  <c r="F15"/>
  <c r="N15" s="1"/>
  <c r="F14"/>
  <c r="N14" s="1"/>
  <c r="F13"/>
  <c r="N13" s="1"/>
  <c r="N11"/>
  <c r="F10"/>
  <c r="N10" s="1"/>
  <c r="F9"/>
  <c r="F70" i="15"/>
  <c r="S69" i="14"/>
  <c r="R26"/>
  <c r="R27"/>
  <c r="R28"/>
  <c r="R29"/>
  <c r="R30"/>
  <c r="R31"/>
  <c r="R32"/>
  <c r="M28"/>
  <c r="M29"/>
  <c r="M35" i="29" s="1"/>
  <c r="N35" s="1"/>
  <c r="M31" i="14"/>
  <c r="M32"/>
  <c r="M27"/>
  <c r="N109" i="15"/>
  <c r="N108"/>
  <c r="N107"/>
  <c r="N106"/>
  <c r="N105"/>
  <c r="N104"/>
  <c r="N103"/>
  <c r="F102"/>
  <c r="F100"/>
  <c r="N100" s="1"/>
  <c r="N99"/>
  <c r="F99"/>
  <c r="F98"/>
  <c r="N98" s="1"/>
  <c r="N97"/>
  <c r="F96"/>
  <c r="N96"/>
  <c r="N95"/>
  <c r="N94"/>
  <c r="F93"/>
  <c r="F91"/>
  <c r="N91" s="1"/>
  <c r="N90"/>
  <c r="F90"/>
  <c r="F89"/>
  <c r="N89" s="1"/>
  <c r="N88"/>
  <c r="F88"/>
  <c r="N87"/>
  <c r="N86"/>
  <c r="N85"/>
  <c r="N84"/>
  <c r="N83"/>
  <c r="N82"/>
  <c r="N81"/>
  <c r="F80"/>
  <c r="N80" s="1"/>
  <c r="F79"/>
  <c r="N79"/>
  <c r="F78"/>
  <c r="F77"/>
  <c r="F76"/>
  <c r="F75"/>
  <c r="F73"/>
  <c r="F72"/>
  <c r="F71"/>
  <c r="F67"/>
  <c r="F65"/>
  <c r="N65" s="1"/>
  <c r="F64"/>
  <c r="N64" s="1"/>
  <c r="F62"/>
  <c r="F60"/>
  <c r="F59"/>
  <c r="N59" s="1"/>
  <c r="N58"/>
  <c r="F57"/>
  <c r="N57" s="1"/>
  <c r="F56"/>
  <c r="N56" s="1"/>
  <c r="F55"/>
  <c r="F53"/>
  <c r="F51"/>
  <c r="N51"/>
  <c r="N50"/>
  <c r="F49"/>
  <c r="N49" s="1"/>
  <c r="N48"/>
  <c r="F48"/>
  <c r="F47"/>
  <c r="F46"/>
  <c r="F45"/>
  <c r="F44"/>
  <c r="F43"/>
  <c r="F42"/>
  <c r="F39"/>
  <c r="F38"/>
  <c r="F37"/>
  <c r="F36"/>
  <c r="F34"/>
  <c r="M33"/>
  <c r="N33" s="1"/>
  <c r="F33"/>
  <c r="F32"/>
  <c r="F31"/>
  <c r="N30"/>
  <c r="N29"/>
  <c r="F27"/>
  <c r="F26"/>
  <c r="F25"/>
  <c r="M23"/>
  <c r="N23" s="1"/>
  <c r="F23"/>
  <c r="F22"/>
  <c r="F21"/>
  <c r="N20"/>
  <c r="F20"/>
  <c r="F19"/>
  <c r="N19"/>
  <c r="N18"/>
  <c r="F18"/>
  <c r="F17"/>
  <c r="N17"/>
  <c r="N16"/>
  <c r="F16"/>
  <c r="F15"/>
  <c r="N15"/>
  <c r="N14"/>
  <c r="F14"/>
  <c r="F13"/>
  <c r="N13"/>
  <c r="N11"/>
  <c r="F10"/>
  <c r="N10"/>
  <c r="F9"/>
  <c r="F78" i="8"/>
  <c r="N78" s="1"/>
  <c r="M33"/>
  <c r="M23"/>
  <c r="N11"/>
  <c r="F10"/>
  <c r="N10" s="1"/>
  <c r="Q73" i="14"/>
  <c r="P33"/>
  <c r="R33" s="1"/>
  <c r="Q38"/>
  <c r="O17"/>
  <c r="O16"/>
  <c r="R16" s="1"/>
  <c r="K39"/>
  <c r="J65"/>
  <c r="H33"/>
  <c r="G33"/>
  <c r="G31"/>
  <c r="I31" s="1"/>
  <c r="F32"/>
  <c r="F55"/>
  <c r="I55" s="1"/>
  <c r="E65"/>
  <c r="C3"/>
  <c r="I3" s="1"/>
  <c r="P39"/>
  <c r="K55"/>
  <c r="I26"/>
  <c r="M32" i="8" s="1"/>
  <c r="I27" i="14"/>
  <c r="M33" i="9" s="1"/>
  <c r="N33" s="1"/>
  <c r="I28" i="14"/>
  <c r="S28" s="1"/>
  <c r="I29"/>
  <c r="S29" s="1"/>
  <c r="I30"/>
  <c r="I32"/>
  <c r="S32" s="1"/>
  <c r="D32"/>
  <c r="P37"/>
  <c r="O64"/>
  <c r="O63"/>
  <c r="O66"/>
  <c r="O6"/>
  <c r="R6" s="1"/>
  <c r="O39"/>
  <c r="R39" s="1"/>
  <c r="D3"/>
  <c r="E3"/>
  <c r="F3"/>
  <c r="G3"/>
  <c r="H3"/>
  <c r="J3"/>
  <c r="M3" s="1"/>
  <c r="K3"/>
  <c r="L3"/>
  <c r="O3"/>
  <c r="R3" s="1"/>
  <c r="P3"/>
  <c r="Q3"/>
  <c r="I4"/>
  <c r="S4" s="1"/>
  <c r="M4"/>
  <c r="N4"/>
  <c r="R4"/>
  <c r="T4" s="1"/>
  <c r="I5"/>
  <c r="S5" s="1"/>
  <c r="M5"/>
  <c r="N5" s="1"/>
  <c r="R5"/>
  <c r="I6"/>
  <c r="M12" i="8" s="1"/>
  <c r="N12" s="1"/>
  <c r="M6" i="14"/>
  <c r="N6" s="1"/>
  <c r="M12" i="15" s="1"/>
  <c r="N12" s="1"/>
  <c r="I7" i="14"/>
  <c r="N7"/>
  <c r="M7"/>
  <c r="R7"/>
  <c r="I8"/>
  <c r="S8" s="1"/>
  <c r="M8"/>
  <c r="N8" s="1"/>
  <c r="R8"/>
  <c r="I9"/>
  <c r="S9" s="1"/>
  <c r="N9"/>
  <c r="M9"/>
  <c r="R9"/>
  <c r="I10"/>
  <c r="S10" s="1"/>
  <c r="M10"/>
  <c r="N10" s="1"/>
  <c r="R10"/>
  <c r="I11"/>
  <c r="S11" s="1"/>
  <c r="M11"/>
  <c r="N11" s="1"/>
  <c r="R11"/>
  <c r="I12"/>
  <c r="S12" s="1"/>
  <c r="M12"/>
  <c r="N12" s="1"/>
  <c r="R12"/>
  <c r="I13"/>
  <c r="S13" s="1"/>
  <c r="M13"/>
  <c r="N13" s="1"/>
  <c r="R13"/>
  <c r="I14"/>
  <c r="S14" s="1"/>
  <c r="M14"/>
  <c r="N14" s="1"/>
  <c r="R14"/>
  <c r="I15"/>
  <c r="M21" i="8" s="1"/>
  <c r="N21" s="1"/>
  <c r="M15" i="14"/>
  <c r="N15" s="1"/>
  <c r="M21" i="15" s="1"/>
  <c r="N21" s="1"/>
  <c r="O15" i="14"/>
  <c r="R15" s="1"/>
  <c r="I16"/>
  <c r="M16"/>
  <c r="I17"/>
  <c r="S17" s="1"/>
  <c r="M17"/>
  <c r="R17"/>
  <c r="I18"/>
  <c r="M24" i="29" s="1"/>
  <c r="N24" s="1"/>
  <c r="M18" i="14"/>
  <c r="R18"/>
  <c r="I19"/>
  <c r="N19" s="1"/>
  <c r="M19"/>
  <c r="R19"/>
  <c r="I20"/>
  <c r="S20" s="1"/>
  <c r="M20"/>
  <c r="R20"/>
  <c r="I21"/>
  <c r="M27" i="29" s="1"/>
  <c r="N27" s="1"/>
  <c r="M21" i="14"/>
  <c r="R21"/>
  <c r="I22"/>
  <c r="N22" s="1"/>
  <c r="M22"/>
  <c r="R22"/>
  <c r="I23"/>
  <c r="N23" s="1"/>
  <c r="M23"/>
  <c r="R23"/>
  <c r="I24"/>
  <c r="S24" s="1"/>
  <c r="M24"/>
  <c r="R24"/>
  <c r="I25"/>
  <c r="S25" s="1"/>
  <c r="M25"/>
  <c r="R25"/>
  <c r="M26"/>
  <c r="N26" s="1"/>
  <c r="K30"/>
  <c r="M30" s="1"/>
  <c r="D33"/>
  <c r="F33"/>
  <c r="I33" s="1"/>
  <c r="K33"/>
  <c r="M33" s="1"/>
  <c r="I34"/>
  <c r="S34" s="1"/>
  <c r="M34"/>
  <c r="N34"/>
  <c r="R34"/>
  <c r="T34" s="1"/>
  <c r="D35"/>
  <c r="I35"/>
  <c r="M41" i="8" s="1"/>
  <c r="N41" s="1"/>
  <c r="M35" i="14"/>
  <c r="R35"/>
  <c r="I36"/>
  <c r="S36" s="1"/>
  <c r="M36"/>
  <c r="R36"/>
  <c r="E37"/>
  <c r="I37" s="1"/>
  <c r="F37"/>
  <c r="J37"/>
  <c r="K37"/>
  <c r="M37" s="1"/>
  <c r="L37"/>
  <c r="R37"/>
  <c r="E38"/>
  <c r="I38" s="1"/>
  <c r="K38"/>
  <c r="L38"/>
  <c r="M38" s="1"/>
  <c r="R38"/>
  <c r="C39"/>
  <c r="I39" s="1"/>
  <c r="D39"/>
  <c r="E39"/>
  <c r="F39"/>
  <c r="G39"/>
  <c r="H39"/>
  <c r="J39"/>
  <c r="L39"/>
  <c r="M39" s="1"/>
  <c r="I40"/>
  <c r="S40" s="1"/>
  <c r="M40"/>
  <c r="N40" s="1"/>
  <c r="M46" i="15" s="1"/>
  <c r="N46" s="1"/>
  <c r="R40" i="14"/>
  <c r="I41"/>
  <c r="M47" i="8" s="1"/>
  <c r="M41" i="14"/>
  <c r="T41" s="1"/>
  <c r="R41"/>
  <c r="I42"/>
  <c r="N42" s="1"/>
  <c r="M42"/>
  <c r="R42"/>
  <c r="T42"/>
  <c r="I43"/>
  <c r="N43" s="1"/>
  <c r="M43"/>
  <c r="R43"/>
  <c r="T43" s="1"/>
  <c r="I44"/>
  <c r="S44" s="1"/>
  <c r="M44"/>
  <c r="N44"/>
  <c r="R44"/>
  <c r="T44" s="1"/>
  <c r="I45"/>
  <c r="S45" s="1"/>
  <c r="M45"/>
  <c r="T45" s="1"/>
  <c r="R45"/>
  <c r="I46"/>
  <c r="N46" s="1"/>
  <c r="M46"/>
  <c r="R46"/>
  <c r="I47"/>
  <c r="S47" s="1"/>
  <c r="M47"/>
  <c r="R47"/>
  <c r="T47"/>
  <c r="I48"/>
  <c r="S48" s="1"/>
  <c r="M48"/>
  <c r="R48"/>
  <c r="I49"/>
  <c r="N49" s="1"/>
  <c r="M54" i="15" s="1"/>
  <c r="N54" s="1"/>
  <c r="M49" i="14"/>
  <c r="R49"/>
  <c r="I50"/>
  <c r="N50" s="1"/>
  <c r="M50"/>
  <c r="R50"/>
  <c r="I51"/>
  <c r="N51" s="1"/>
  <c r="M51"/>
  <c r="R51"/>
  <c r="T51" s="1"/>
  <c r="I52"/>
  <c r="S52" s="1"/>
  <c r="M52"/>
  <c r="N52"/>
  <c r="R52"/>
  <c r="T52" s="1"/>
  <c r="I53"/>
  <c r="S53" s="1"/>
  <c r="M53"/>
  <c r="T53" s="1"/>
  <c r="R53"/>
  <c r="I54"/>
  <c r="N54" s="1"/>
  <c r="M54"/>
  <c r="R54"/>
  <c r="T54"/>
  <c r="J55"/>
  <c r="M55" s="1"/>
  <c r="R55"/>
  <c r="I56"/>
  <c r="S56" s="1"/>
  <c r="K56"/>
  <c r="M56" s="1"/>
  <c r="T56" s="1"/>
  <c r="R56"/>
  <c r="I57"/>
  <c r="M62" i="8" s="1"/>
  <c r="K57" i="14"/>
  <c r="M57" s="1"/>
  <c r="N57" s="1"/>
  <c r="M62" i="15" s="1"/>
  <c r="N62" s="1"/>
  <c r="R57" i="14"/>
  <c r="I58"/>
  <c r="M63" i="8" s="1"/>
  <c r="N63" s="1"/>
  <c r="M58" i="14"/>
  <c r="N58" s="1"/>
  <c r="M63" i="15" s="1"/>
  <c r="N63" s="1"/>
  <c r="R58" i="14"/>
  <c r="I59"/>
  <c r="S59" s="1"/>
  <c r="M59"/>
  <c r="N59" s="1"/>
  <c r="R59"/>
  <c r="I60"/>
  <c r="S60" s="1"/>
  <c r="M60"/>
  <c r="T60" s="1"/>
  <c r="R60"/>
  <c r="I61"/>
  <c r="N61" s="1"/>
  <c r="M61"/>
  <c r="R61"/>
  <c r="T61"/>
  <c r="I62"/>
  <c r="N62" s="1"/>
  <c r="M62"/>
  <c r="R62"/>
  <c r="T62" s="1"/>
  <c r="I63"/>
  <c r="M68" i="15" s="1"/>
  <c r="N68" s="1"/>
  <c r="M63" i="14"/>
  <c r="R63"/>
  <c r="I64"/>
  <c r="S64" s="1"/>
  <c r="M64"/>
  <c r="N64"/>
  <c r="R64"/>
  <c r="I65"/>
  <c r="M70" i="8" s="1"/>
  <c r="M65" i="14"/>
  <c r="N65"/>
  <c r="M70" i="29" s="1"/>
  <c r="N70" s="1"/>
  <c r="R65" i="14"/>
  <c r="I66"/>
  <c r="S66" s="1"/>
  <c r="L66"/>
  <c r="M66"/>
  <c r="N66" s="1"/>
  <c r="M71" i="15" s="1"/>
  <c r="R66" i="14"/>
  <c r="I67"/>
  <c r="M72" i="8" s="1"/>
  <c r="N72" s="1"/>
  <c r="J67" i="14"/>
  <c r="M67" s="1"/>
  <c r="N67" s="1"/>
  <c r="M72" i="15" s="1"/>
  <c r="N72" s="1"/>
  <c r="R67" i="14"/>
  <c r="I68"/>
  <c r="S68" s="1"/>
  <c r="M68"/>
  <c r="R68"/>
  <c r="I70"/>
  <c r="N70" s="1"/>
  <c r="M70"/>
  <c r="R70"/>
  <c r="T70"/>
  <c r="F71"/>
  <c r="I71" s="1"/>
  <c r="M71"/>
  <c r="R71"/>
  <c r="I72"/>
  <c r="S72" s="1"/>
  <c r="L72"/>
  <c r="M72"/>
  <c r="N72" s="1"/>
  <c r="M76" i="15" s="1"/>
  <c r="R72" i="14"/>
  <c r="I73"/>
  <c r="M77" i="8" s="1"/>
  <c r="M73" i="14"/>
  <c r="N73" s="1"/>
  <c r="M77" i="15" s="1"/>
  <c r="R73" i="14"/>
  <c r="I74"/>
  <c r="S74" s="1"/>
  <c r="M74"/>
  <c r="N74"/>
  <c r="M78" i="29" s="1"/>
  <c r="N78" s="1"/>
  <c r="R74" i="14"/>
  <c r="I75"/>
  <c r="S75" s="1"/>
  <c r="M75"/>
  <c r="N75"/>
  <c r="R75"/>
  <c r="I76"/>
  <c r="S76" s="1"/>
  <c r="M76"/>
  <c r="N76"/>
  <c r="R76"/>
  <c r="I77"/>
  <c r="S77" s="1"/>
  <c r="M77"/>
  <c r="N77"/>
  <c r="R77"/>
  <c r="I78"/>
  <c r="S78" s="1"/>
  <c r="M78"/>
  <c r="N78"/>
  <c r="R78"/>
  <c r="T78" s="1"/>
  <c r="I79"/>
  <c r="S79" s="1"/>
  <c r="M79"/>
  <c r="N79" s="1"/>
  <c r="R79"/>
  <c r="I80"/>
  <c r="S80" s="1"/>
  <c r="M80"/>
  <c r="N80" s="1"/>
  <c r="R80"/>
  <c r="I81"/>
  <c r="S81" s="1"/>
  <c r="M81"/>
  <c r="N81" s="1"/>
  <c r="R81"/>
  <c r="I82"/>
  <c r="S82" s="1"/>
  <c r="M82"/>
  <c r="N82" s="1"/>
  <c r="R82"/>
  <c r="I83"/>
  <c r="S83" s="1"/>
  <c r="M83"/>
  <c r="N83" s="1"/>
  <c r="R83"/>
  <c r="I84"/>
  <c r="S84" s="1"/>
  <c r="M84"/>
  <c r="N84" s="1"/>
  <c r="R84"/>
  <c r="I85"/>
  <c r="S85" s="1"/>
  <c r="M85"/>
  <c r="N85" s="1"/>
  <c r="R85"/>
  <c r="I86"/>
  <c r="S86" s="1"/>
  <c r="M86"/>
  <c r="N86" s="1"/>
  <c r="R86"/>
  <c r="I87"/>
  <c r="M92" i="8" s="1"/>
  <c r="N92" s="1"/>
  <c r="M87" i="14"/>
  <c r="N87" s="1"/>
  <c r="R87"/>
  <c r="I88"/>
  <c r="M93" i="29" s="1"/>
  <c r="N93" s="1"/>
  <c r="M88" i="14"/>
  <c r="N88" s="1"/>
  <c r="R88"/>
  <c r="I89"/>
  <c r="S89" s="1"/>
  <c r="M89"/>
  <c r="N89" s="1"/>
  <c r="R89"/>
  <c r="I90"/>
  <c r="S90" s="1"/>
  <c r="M90"/>
  <c r="N90" s="1"/>
  <c r="R90"/>
  <c r="I91"/>
  <c r="S91" s="1"/>
  <c r="M91"/>
  <c r="N91" s="1"/>
  <c r="R91"/>
  <c r="I92"/>
  <c r="S92" s="1"/>
  <c r="M92"/>
  <c r="N92" s="1"/>
  <c r="R92"/>
  <c r="I93"/>
  <c r="S93" s="1"/>
  <c r="M93"/>
  <c r="N93" s="1"/>
  <c r="R93"/>
  <c r="I94"/>
  <c r="S94" s="1"/>
  <c r="M94"/>
  <c r="N94" s="1"/>
  <c r="R94"/>
  <c r="I95"/>
  <c r="S95" s="1"/>
  <c r="M95"/>
  <c r="N95" s="1"/>
  <c r="R95"/>
  <c r="I96"/>
  <c r="S96" s="1"/>
  <c r="M96"/>
  <c r="N96" s="1"/>
  <c r="R96"/>
  <c r="I97"/>
  <c r="S97" s="1"/>
  <c r="M97"/>
  <c r="N97" s="1"/>
  <c r="R97"/>
  <c r="I98"/>
  <c r="S98" s="1"/>
  <c r="M98"/>
  <c r="N98" s="1"/>
  <c r="R98"/>
  <c r="I103"/>
  <c r="M103"/>
  <c r="S103" s="1"/>
  <c r="R103"/>
  <c r="T103"/>
  <c r="I104"/>
  <c r="S104" s="1"/>
  <c r="R104"/>
  <c r="T104"/>
  <c r="I105"/>
  <c r="T105" s="1"/>
  <c r="R105"/>
  <c r="I106"/>
  <c r="I107"/>
  <c r="I108"/>
  <c r="F9" i="8"/>
  <c r="F13"/>
  <c r="N13" s="1"/>
  <c r="F14"/>
  <c r="N14"/>
  <c r="F15"/>
  <c r="N15" s="1"/>
  <c r="F16"/>
  <c r="N16"/>
  <c r="F17"/>
  <c r="N17" s="1"/>
  <c r="F18"/>
  <c r="N18"/>
  <c r="F19"/>
  <c r="N19" s="1"/>
  <c r="F20"/>
  <c r="N20" s="1"/>
  <c r="F21"/>
  <c r="F22"/>
  <c r="F23"/>
  <c r="F25"/>
  <c r="F26"/>
  <c r="F27"/>
  <c r="N29"/>
  <c r="N30"/>
  <c r="F31"/>
  <c r="F32"/>
  <c r="F33"/>
  <c r="N33" s="1"/>
  <c r="F34"/>
  <c r="F36"/>
  <c r="F37"/>
  <c r="F38"/>
  <c r="F39"/>
  <c r="F42"/>
  <c r="F43"/>
  <c r="F44"/>
  <c r="F45"/>
  <c r="F46"/>
  <c r="F47"/>
  <c r="F48"/>
  <c r="N48" s="1"/>
  <c r="F49"/>
  <c r="N49"/>
  <c r="N50"/>
  <c r="F51"/>
  <c r="N51" s="1"/>
  <c r="F53"/>
  <c r="F55"/>
  <c r="F56"/>
  <c r="N56" s="1"/>
  <c r="F57"/>
  <c r="N57" s="1"/>
  <c r="N58"/>
  <c r="F59"/>
  <c r="N59" s="1"/>
  <c r="F60"/>
  <c r="F62"/>
  <c r="N62" s="1"/>
  <c r="F64"/>
  <c r="N64"/>
  <c r="F65"/>
  <c r="N65" s="1"/>
  <c r="F67"/>
  <c r="F70"/>
  <c r="N70" s="1"/>
  <c r="F71"/>
  <c r="F72"/>
  <c r="F73"/>
  <c r="F75"/>
  <c r="F76"/>
  <c r="F77"/>
  <c r="N77" s="1"/>
  <c r="F79"/>
  <c r="N79" s="1"/>
  <c r="F80"/>
  <c r="N80" s="1"/>
  <c r="N81"/>
  <c r="N82"/>
  <c r="N83"/>
  <c r="N84"/>
  <c r="N85"/>
  <c r="N86"/>
  <c r="N87"/>
  <c r="F88"/>
  <c r="N88" s="1"/>
  <c r="F89"/>
  <c r="N89"/>
  <c r="F90"/>
  <c r="N90" s="1"/>
  <c r="F91"/>
  <c r="N91"/>
  <c r="F93"/>
  <c r="N94"/>
  <c r="N95"/>
  <c r="F96"/>
  <c r="N96" s="1"/>
  <c r="N97"/>
  <c r="F98"/>
  <c r="N98"/>
  <c r="F99"/>
  <c r="N99" s="1"/>
  <c r="F100"/>
  <c r="N100"/>
  <c r="F102"/>
  <c r="N103"/>
  <c r="N104"/>
  <c r="N105"/>
  <c r="N106"/>
  <c r="N107"/>
  <c r="N108"/>
  <c r="N109"/>
  <c r="T65" i="14"/>
  <c r="T58"/>
  <c r="T63"/>
  <c r="T64"/>
  <c r="T7"/>
  <c r="S7"/>
  <c r="T72"/>
  <c r="T73"/>
  <c r="M25" i="9"/>
  <c r="N25" s="1"/>
  <c r="M67"/>
  <c r="N67" s="1"/>
  <c r="M25" i="15"/>
  <c r="N25" s="1"/>
  <c r="M67"/>
  <c r="N67"/>
  <c r="M67" i="8"/>
  <c r="N67" s="1"/>
  <c r="M66" i="15" l="1"/>
  <c r="N66" s="1"/>
  <c r="M66" i="29"/>
  <c r="N66" s="1"/>
  <c r="M66" i="9"/>
  <c r="N66" s="1"/>
  <c r="M31"/>
  <c r="M31" i="29"/>
  <c r="N31" s="1"/>
  <c r="M102" i="15"/>
  <c r="N102" s="1"/>
  <c r="M102" i="29"/>
  <c r="N102" s="1"/>
  <c r="M102" i="9"/>
  <c r="N102" s="1"/>
  <c r="M46"/>
  <c r="N46" s="1"/>
  <c r="M46" i="29"/>
  <c r="N46" s="1"/>
  <c r="M92" i="15"/>
  <c r="N92" s="1"/>
  <c r="M92" i="29"/>
  <c r="N92" s="1"/>
  <c r="M92" i="9"/>
  <c r="N92" s="1"/>
  <c r="M76"/>
  <c r="N76" s="1"/>
  <c r="M76" i="29"/>
  <c r="N76" s="1"/>
  <c r="S37" i="14"/>
  <c r="N37"/>
  <c r="M43" i="15" s="1"/>
  <c r="N43" s="1"/>
  <c r="M43" i="8"/>
  <c r="M32" i="29"/>
  <c r="N32" s="1"/>
  <c r="M32" i="9"/>
  <c r="N32" s="1"/>
  <c r="M32" i="15"/>
  <c r="N32" s="1"/>
  <c r="M28" i="9"/>
  <c r="N28" s="1"/>
  <c r="M28" i="15"/>
  <c r="N28" s="1"/>
  <c r="M28" i="29"/>
  <c r="N28" s="1"/>
  <c r="N55" i="14"/>
  <c r="S55"/>
  <c r="M60" i="8"/>
  <c r="T55" i="14"/>
  <c r="N76" i="15"/>
  <c r="N60" i="8"/>
  <c r="N47"/>
  <c r="N43"/>
  <c r="N32"/>
  <c r="N31" i="9"/>
  <c r="N30" i="14"/>
  <c r="N77" i="15"/>
  <c r="N33" i="29"/>
  <c r="N71"/>
  <c r="N71" i="14"/>
  <c r="M75" i="15" s="1"/>
  <c r="N75" s="1"/>
  <c r="T71" i="14"/>
  <c r="S71"/>
  <c r="M75" i="8"/>
  <c r="N75" s="1"/>
  <c r="M37" i="15"/>
  <c r="N37" s="1"/>
  <c r="M37" i="29"/>
  <c r="N37" s="1"/>
  <c r="M37" i="9"/>
  <c r="N37" s="1"/>
  <c r="S31" i="14"/>
  <c r="N31"/>
  <c r="M37" i="8"/>
  <c r="N37" s="1"/>
  <c r="N22" i="9"/>
  <c r="M22"/>
  <c r="M22" i="29"/>
  <c r="M61"/>
  <c r="N61" s="1"/>
  <c r="M61" i="9"/>
  <c r="N61" s="1"/>
  <c r="M45" i="8"/>
  <c r="N45" s="1"/>
  <c r="N39" i="14"/>
  <c r="M45" i="15" s="1"/>
  <c r="N45" s="1"/>
  <c r="S39" i="14"/>
  <c r="M44" i="8"/>
  <c r="N44" s="1"/>
  <c r="N38" i="14"/>
  <c r="M44" i="15" s="1"/>
  <c r="N44" s="1"/>
  <c r="S38" i="14"/>
  <c r="N3"/>
  <c r="M9" i="15" s="1"/>
  <c r="N9" s="1"/>
  <c r="S3" i="14"/>
  <c r="M9" i="8"/>
  <c r="N9" s="1"/>
  <c r="M101" i="29"/>
  <c r="N101" s="1"/>
  <c r="M101" i="9"/>
  <c r="N101" s="1"/>
  <c r="M101" i="15"/>
  <c r="N101" s="1"/>
  <c r="M71" i="29"/>
  <c r="M71" i="9"/>
  <c r="N71" s="1"/>
  <c r="M69"/>
  <c r="N69" s="1"/>
  <c r="M69" i="29"/>
  <c r="N69" s="1"/>
  <c r="S33" i="14"/>
  <c r="N33"/>
  <c r="M39" i="15" s="1"/>
  <c r="N39" s="1"/>
  <c r="M39" i="8"/>
  <c r="N39" s="1"/>
  <c r="N71" i="15"/>
  <c r="S16" i="14"/>
  <c r="N22" i="29"/>
  <c r="N23" i="8"/>
  <c r="M28"/>
  <c r="N28" s="1"/>
  <c r="M35"/>
  <c r="N35" s="1"/>
  <c r="M38"/>
  <c r="N38" s="1"/>
  <c r="M55"/>
  <c r="N55" s="1"/>
  <c r="M61"/>
  <c r="N61" s="1"/>
  <c r="M66"/>
  <c r="N66" s="1"/>
  <c r="M71"/>
  <c r="N71" s="1"/>
  <c r="M76"/>
  <c r="N76" s="1"/>
  <c r="M102"/>
  <c r="N102" s="1"/>
  <c r="M24" i="15"/>
  <c r="N24" s="1"/>
  <c r="M53"/>
  <c r="N53" s="1"/>
  <c r="N27" i="14"/>
  <c r="N29"/>
  <c r="S73"/>
  <c r="S65"/>
  <c r="S61"/>
  <c r="S57"/>
  <c r="S49"/>
  <c r="S41"/>
  <c r="S30"/>
  <c r="S26"/>
  <c r="S22"/>
  <c r="S18"/>
  <c r="M78" i="15"/>
  <c r="N78" s="1"/>
  <c r="M73" i="9"/>
  <c r="N73" s="1"/>
  <c r="M78"/>
  <c r="N78" s="1"/>
  <c r="M53" i="29"/>
  <c r="N53" s="1"/>
  <c r="M55"/>
  <c r="N55" s="1"/>
  <c r="M25" i="8"/>
  <c r="N25" s="1"/>
  <c r="N103" i="14"/>
  <c r="N60"/>
  <c r="N56"/>
  <c r="M61" i="15" s="1"/>
  <c r="N61" s="1"/>
  <c r="N53" i="14"/>
  <c r="N45"/>
  <c r="N41"/>
  <c r="M47" i="15" s="1"/>
  <c r="N47" s="1"/>
  <c r="M22" i="8"/>
  <c r="N22" s="1"/>
  <c r="M27"/>
  <c r="N27" s="1"/>
  <c r="M42"/>
  <c r="N42" s="1"/>
  <c r="M46"/>
  <c r="N46" s="1"/>
  <c r="M54"/>
  <c r="N54" s="1"/>
  <c r="M78"/>
  <c r="M101"/>
  <c r="N101" s="1"/>
  <c r="S6" i="14"/>
  <c r="S70"/>
  <c r="S62"/>
  <c r="S58"/>
  <c r="S54"/>
  <c r="S50"/>
  <c r="S46"/>
  <c r="S42"/>
  <c r="S35"/>
  <c r="S27"/>
  <c r="S23"/>
  <c r="S19"/>
  <c r="S15"/>
  <c r="M27" i="9"/>
  <c r="N27" s="1"/>
  <c r="M53"/>
  <c r="N53" s="1"/>
  <c r="M70"/>
  <c r="N70" s="1"/>
  <c r="M93"/>
  <c r="N93" s="1"/>
  <c r="M25" i="29"/>
  <c r="N25" s="1"/>
  <c r="N68" i="14"/>
  <c r="T57"/>
  <c r="N47"/>
  <c r="N36"/>
  <c r="N35"/>
  <c r="M41" i="15" s="1"/>
  <c r="N41" s="1"/>
  <c r="N25" i="14"/>
  <c r="M31" i="15" s="1"/>
  <c r="N31" s="1"/>
  <c r="N24" i="14"/>
  <c r="N21"/>
  <c r="N20"/>
  <c r="N18"/>
  <c r="N17"/>
  <c r="N16"/>
  <c r="M22" i="15" s="1"/>
  <c r="N22" s="1"/>
  <c r="M26" i="8"/>
  <c r="N26" s="1"/>
  <c r="M34"/>
  <c r="N34" s="1"/>
  <c r="M36"/>
  <c r="N36" s="1"/>
  <c r="M53"/>
  <c r="N53" s="1"/>
  <c r="M69"/>
  <c r="N69" s="1"/>
  <c r="M73"/>
  <c r="N73" s="1"/>
  <c r="M93"/>
  <c r="N93" s="1"/>
  <c r="M55" i="15"/>
  <c r="N55" s="1"/>
  <c r="M69"/>
  <c r="N69" s="1"/>
  <c r="M73"/>
  <c r="N73" s="1"/>
  <c r="N32" i="14"/>
  <c r="N28"/>
  <c r="S87"/>
  <c r="S67"/>
  <c r="S63"/>
  <c r="S51"/>
  <c r="S43"/>
  <c r="M70" i="15"/>
  <c r="N70" s="1"/>
  <c r="M35" i="9"/>
  <c r="N35" s="1"/>
  <c r="M55"/>
  <c r="N55" s="1"/>
  <c r="M33" i="29"/>
  <c r="M73"/>
  <c r="N73" s="1"/>
  <c r="N63" i="14"/>
  <c r="N48"/>
  <c r="M24" i="8"/>
  <c r="N24" s="1"/>
  <c r="M31"/>
  <c r="N31" s="1"/>
  <c r="M68"/>
  <c r="N68" s="1"/>
  <c r="M27" i="15"/>
  <c r="N27" s="1"/>
  <c r="M93"/>
  <c r="N93" s="1"/>
  <c r="M35"/>
  <c r="N35" s="1"/>
  <c r="S88" i="14"/>
  <c r="S21"/>
  <c r="M24" i="9"/>
  <c r="N24" s="1"/>
  <c r="M21" l="1"/>
  <c r="N21" s="1"/>
  <c r="M21" i="29"/>
  <c r="N21" s="1"/>
  <c r="M12"/>
  <c r="N12" s="1"/>
  <c r="M12" i="9"/>
  <c r="N12" s="1"/>
  <c r="M47"/>
  <c r="N47" s="1"/>
  <c r="M47" i="29"/>
  <c r="N47" s="1"/>
  <c r="M26"/>
  <c r="N26" s="1"/>
  <c r="M26" i="9"/>
  <c r="N26" s="1"/>
  <c r="M26" i="15"/>
  <c r="N26" s="1"/>
  <c r="M62" i="29"/>
  <c r="N62" s="1"/>
  <c r="M62" i="9"/>
  <c r="N62" s="1"/>
  <c r="M39"/>
  <c r="N39" s="1"/>
  <c r="M39" i="29"/>
  <c r="N39" s="1"/>
  <c r="M75" i="9"/>
  <c r="N75" s="1"/>
  <c r="M75" i="29"/>
  <c r="N75" s="1"/>
  <c r="M60"/>
  <c r="N60" s="1"/>
  <c r="M60" i="9"/>
  <c r="N60" s="1"/>
  <c r="M60" i="15"/>
  <c r="N60" s="1"/>
  <c r="M72" i="9"/>
  <c r="N72" s="1"/>
  <c r="M72" i="29"/>
  <c r="N72" s="1"/>
  <c r="M63" i="9"/>
  <c r="N63" s="1"/>
  <c r="M63" i="29"/>
  <c r="N63" s="1"/>
  <c r="M54"/>
  <c r="N54" s="1"/>
  <c r="M54" i="9"/>
  <c r="N54" s="1"/>
  <c r="M77" i="29"/>
  <c r="N77" s="1"/>
  <c r="M77" i="9"/>
  <c r="N77" s="1"/>
  <c r="M44" i="29"/>
  <c r="N44" s="1"/>
  <c r="M44" i="9"/>
  <c r="N44" s="1"/>
  <c r="M68" i="29"/>
  <c r="N68" s="1"/>
  <c r="M68" i="9"/>
  <c r="N68" s="1"/>
  <c r="M38" i="29"/>
  <c r="N38" s="1"/>
  <c r="M38" i="9"/>
  <c r="N38" s="1"/>
  <c r="M38" i="15"/>
  <c r="N38" s="1"/>
  <c r="M45" i="29"/>
  <c r="N45" s="1"/>
  <c r="T39" i="14"/>
  <c r="M45" i="9"/>
  <c r="N45" s="1"/>
  <c r="M34" i="29"/>
  <c r="N34" s="1"/>
  <c r="M34" i="9"/>
  <c r="N34" s="1"/>
  <c r="M34" i="15"/>
  <c r="N34" s="1"/>
  <c r="M42" i="29"/>
  <c r="N42" s="1"/>
  <c r="M42" i="15"/>
  <c r="N42" s="1"/>
  <c r="M42" i="9"/>
  <c r="N42" s="1"/>
  <c r="M9"/>
  <c r="N9" s="1"/>
  <c r="M9" i="29"/>
  <c r="N9" s="1"/>
  <c r="M36"/>
  <c r="N36" s="1"/>
  <c r="M36" i="15"/>
  <c r="N36" s="1"/>
  <c r="M36" i="9"/>
  <c r="N36" s="1"/>
  <c r="M43" i="29"/>
  <c r="N43" s="1"/>
  <c r="M43" i="9"/>
  <c r="N43" s="1"/>
</calcChain>
</file>

<file path=xl/sharedStrings.xml><?xml version="1.0" encoding="utf-8"?>
<sst xmlns="http://schemas.openxmlformats.org/spreadsheetml/2006/main" count="5302" uniqueCount="847">
  <si>
    <t>โครงการสนับสนุนการพัฒนาศักยภาพสมาคมกำนัน/ผู้ใหญ่บ้านตำบลท่าตุ้ม จำนวน ๑ โครงการ</t>
  </si>
  <si>
    <t>โครงการศึกษาดูงานของชมรมผู้สูงอายุตำบลท่าตุ้ม จำนวน ๑ โครงการ</t>
  </si>
  <si>
    <t>โครงการสนับสนุนกิจกรรมเพื่อนช่วยเพื่อน ผู้สูงอายุในตำบลท่าตุ้ม จำนวน ๑ โครงการ</t>
  </si>
  <si>
    <t>โครงการสนับสนุนการแข่งขันกีฬาผู้สูงอายุในตำบลท่าตุ้ม จำนวน ๑ โครงการ</t>
  </si>
  <si>
    <t>โครงการสนับสนุนการประชุมเชิงวิชาการสาธารณสุข อสม.ในตำบลท่าตุ้ม จำนวน ๑ โครงการ</t>
  </si>
  <si>
    <t>โครงการศึกษาดูงานของอาสาสมัครสาธารณสุขตำบลท่าตุ้ม จำนวน ๑ โครงการ</t>
  </si>
  <si>
    <t>โครงการส่งเสริมพัฒนางานสาธารณสุขมูลฐานในหมุ่บ้าน (อุดหนุนหมู่บ้านละ ๑๐,๐๐๐ บาท) จำนวน ๑ โครงการ</t>
  </si>
  <si>
    <t>โครงการสนับสนุนการแข่งขันกีฬา อสม.ตำบลท่าตุ้ม จำนวน ๑ โครงการ</t>
  </si>
  <si>
    <t>โครงการสนับสนุนกลุ่มลูกเสือชาวบ้านตำบลท่าตุ้ม จำนวน ๑ โครงการ</t>
  </si>
  <si>
    <t>โครงการฝึกอบรมอาสาสมัครจราจร สภ.ป่าซาง จำนวน ๑ โครงการ</t>
  </si>
  <si>
    <t>อุดหนุนโครงการคลินิคเกษตรเคลื่อนที่ จำนวน ๑ โครงการ</t>
  </si>
  <si>
    <t>โครงการสนับสนุนการปฏิบัติงานของอาสาสมัครป้องกันและบรรเทาสาธารณภัยตำบลท่าตุ้ม (อปพร.) จำนวน ๑ โครงการ</t>
  </si>
  <si>
    <t>โครงการจัดซื้ออุปกรณ์ปฏิบัติงานของ อปพร.ตำบลท่าตุ้ม จำนวน ๑ โครงการ</t>
  </si>
  <si>
    <t>โครงการป้องกันและแก้ไขปัญหาอุทกภัย จำนวน ๑ โครงการ</t>
  </si>
  <si>
    <t>โครงการรณรงค์ป้องกันการเกิดอุบัติเหตุบนท้องถนนภายในตำบลท่าตุ้มในช่วงเทศกาลต่าง ๆ จำนวน ๑ โครงการ</t>
  </si>
  <si>
    <t>โครงการติดตั้งกระจกโค้งจราจรตามจุดเสี่ยงทางโค้งอันตรายในตำบลท่าตุ้ม จำนวน ๑ โครงการ</t>
  </si>
  <si>
    <t>โครงการรณรงค์ป้องกันและแก้ไขปัญหายาเสพติดในตำบลท่าตุ้ม จำนวน ๑ โครงการ</t>
  </si>
  <si>
    <t>โครงการสนับสนุนการแก้ไขปัญหายาเสพติดในตำบลท่าตุ้ม จำนวน ๑ โครงการ</t>
  </si>
  <si>
    <t>โครงการอบรมเยาวชนด้านยาเสพติด สภ.ป่าซาง จำนวน ๑ โครงการ</t>
  </si>
  <si>
    <t>โครงการฝึกอบรมอาสาสมัครป้องกันหมู่บ้านปลอดอาชญากรรมยาเสพติด สภ.ป่าซาง จำนวน ๑ โครงการ</t>
  </si>
  <si>
    <t>โครงการศึกษาเพื่อต่อต้านยาเสพติดในเด็กนักเรียนหรือครูตำรวย D.A.R.E จำนวน ๑ โครงการ</t>
  </si>
  <si>
    <t>โครงการบำบัดรักษาผู้เสพยาติดในตำบลท่าตุ้ม จำนวน ๑ โครงการ</t>
  </si>
  <si>
    <t>โครงการส่งเสริมอาชีพด้านหัตถกรรม จำนวน ๑ โครงการ</t>
  </si>
  <si>
    <t>โครงการก่อสร้างถนนคอนเสริมเหล็ก ม.๑, ๒, ๓, ๔, ๕, ๖, ๙, ๑๓ ต.ท่าตุ้ม จำนวน ๑ โครงการ</t>
  </si>
  <si>
    <t>โครงการเจาะบ่อบาดาลเพื่อการเกษตรพร้อมอุปกรณ์ในตำบลท่าตุ้ม จำนวน ๑ โครงการ</t>
  </si>
  <si>
    <t>โครงการก่อสร้างฝายทดน้ำหรือฝายชะลอน้ำในตำบลท่าตุ้ม จำนวน ๑ โครงการ</t>
  </si>
  <si>
    <t>โครงการขยายท่อส่งน้ำเพื่อการเกษตรพร้อมอุปกรณ์ในตำบลท่าตุ้ม จำนวน ๑ โครงการ</t>
  </si>
  <si>
    <t xml:space="preserve">                                                                                    ขององค์การบริหารส่วนตำบลท่าตุ้ม อำเภอป่าซาง จังหวัดลำพูน</t>
  </si>
  <si>
    <t>โครงการส่งเสริมอาชีพให้กับกลุ่มเกษตรกรด้านการปลูกข้าวในตำบลท่าตุ้ม จำนวน ๑ โครงการ</t>
  </si>
  <si>
    <t>โครงการส่งเสริมกลุ่มอาชีพการทำปุ๋ยอินทรีย์/ปุ๋ยหมัก/ปุ๋ยอัดเม็ด จำนวน ๑ โครงการ</t>
  </si>
  <si>
    <t>โครงการสนับสนุนกลุ่มออมทรัพย์ต่าง ในตำบลท่าตุ้ม จำนวน ๑ โครงการ</t>
  </si>
  <si>
    <t>โครงการสนับสนุนกลุ่มกองทุนข้าวสาร จำนวน ๑ โครงการ</t>
  </si>
  <si>
    <t>โครงการส่งเสริมกลุ่มอาชีพด้านการเลี้ยงสัตว์ต่าง ๆ จำนวน ๑ โครงการ</t>
  </si>
  <si>
    <t>โครงการส่งเสริมกลุ่มอาชีพแปรรูปผลิตภัณฑ์อาหารและผลิตภัณฑ์ทางการเกษตร จำนวน ๑ โครงการ</t>
  </si>
  <si>
    <t>โครงการส่งเสริมกลุ่มอาชีพการทำน้ำยาอเนกประสงค์จากส่วนผสมของสมุนไพร จำนวน ๑ โครงการ</t>
  </si>
  <si>
    <t>โครงการศูนย์เรียนรู้เศรษฐกิจพอเพียง จำนวน ๑ โครงการ</t>
  </si>
  <si>
    <t>โครงการส่งเสริมและพัฒนากลุ่มวิสาหกิจชุมชนต่าง ๆ จำนวน ๑ โครงการ</t>
  </si>
  <si>
    <t>โครงการส่งเสริมอาชีพกลุ่มเกษตรทำสวน/ทำนา/เกษตรผสมผสาน จำนวน ๑ โครงการ</t>
  </si>
  <si>
    <t>โครงการส่งเสริมอาชีพกลุ่มจักสานต่าง ๆ จำนวน ๑ โครงการ</t>
  </si>
  <si>
    <t>โครงการส่งเสริมกลุ่มอาชีพอื่น ๆ ภายในหมู่บ้าน จำนวน ๑ โครงการ</t>
  </si>
  <si>
    <t>โครงการส่งเสริมอาชีพกลุ่มทำดอกไม้ประดิษฐ์ จำนวน ๑ โครงการ</t>
  </si>
  <si>
    <t>โครงการส่งเสริมการใช้พลังงานทดแทน จำนวน ๑ โครงการ</t>
  </si>
  <si>
    <t>โครงการสนับสนุนกลุ่มเกษตรทำสวนตำบลท่าตุ้ม จำนวน ๑ โครงการ</t>
  </si>
  <si>
    <t>โครงการฝึกอบรมอาชีพให้แก่ประชาชนในตำบลท่าตุ้ม จำนวน ๑ โครงการ</t>
  </si>
  <si>
    <t>โครงการจัดกิจกรรมเพื่อส่งเสริมอาชีพในตำบลท่าตุ้ม จำนวน ๑ โครงการ</t>
  </si>
  <si>
    <t>โครงการสนับสนุนการจัดทำแผนพัฒนาการเกษตรประจำตำบล จำนวน ๑ โครงการ</t>
  </si>
  <si>
    <t>โครงการก่อสร้างร้านค้าสวัสดิการชุมชน จำนวน ๑ โครงการ</t>
  </si>
  <si>
    <t>โครงการจัดตั้งสหกรณ์ชุมชน จำนวน ๑ โครงการ</t>
  </si>
  <si>
    <t>โครงการก่อสร้างเมรุเผาศพ (ไร้มลพิษ) จำนวน ๑ โครงการ</t>
  </si>
  <si>
    <t>โครงการจัดกิจกรรมปลูกต้นไม้เฉลิมพระเกียรติในตำบลท่าตุ้ม จำนวน ๑ โครงการ</t>
  </si>
  <si>
    <t>โครงการป้องกันและแก้ไขปัญหาไฟป่าและหมอกควัน จำนวน ๑ โครงการ</t>
  </si>
  <si>
    <t>โครงการรณรงค์และสนับสนุนส่งเสริมการปลูกหญ้าแฝกอันเนื่องมาจากพระราชดำริ จำนวน ๑ โครงการ</t>
  </si>
  <si>
    <t>โครงการสนับสนุนการจัดตั้งธนาคารขยะชุมชน จำนวน ๑ โครงการ</t>
  </si>
  <si>
    <t>โครงการก่อสร้างเตาเผาขยะปลอดมลพิษ ม.๔ จำนวน ๑ โครงการ</t>
  </si>
  <si>
    <t>โครงการศึกษาความเหมาะสมและออกแบบรายละเอียดระบบจัดการขยะมูลฝอยแบบครบวงจรสำหรับ อปท. จำนวน ๑ โครงการ</t>
  </si>
  <si>
    <t>โครงการรณรงค์คัดแยกขยะและกำจัดขญะในครัวเรือนและชุมชน จำนวน ๑ โครงการ</t>
  </si>
  <si>
    <t>โครงการก่อสร้างท่อระบายน้ำเสียในตำบลท่าตุ้ม จำนวน ๑ โครงการ</t>
  </si>
  <si>
    <t>โครงการก่อสร้างบ่อบำบัดน้ำเสียภายในหมู่บ้าน จำนวน ๑ โครงการ</t>
  </si>
  <si>
    <t>โครงการจัดกิจกรรมรณรงค์แก้ไขปัญหาน้ำเน่าเสียในตำบลท่าตุ้ม จำนวน ๑ โครงการ</t>
  </si>
  <si>
    <t>โครงการสนับสนุนการจัดกิจกรรมวันสำคัญทางศาสนา จำนวน ๑ โครงการ</t>
  </si>
  <si>
    <t>โครงการจัดกิจกรรมด้านการส่งเสริมพระพุทธศาสนาต่าง ๆ ของวัดในตำบลท่าตุ้ม จำนวน ๑ โครงการ</t>
  </si>
  <si>
    <t>โครงการสนับสนุนกิจกรรมการอบรมคุณธรรมจริยธรรมเยาวชนนักเรียนในตำบลท่าตุ้ม (อปต.) จำนวน ๑ โครงการ</t>
  </si>
  <si>
    <t>โครงการสนับสนุนกิจกรรมธรรมะสัญจรและอาบน้ำดำหัวครูบาอาจารย์และอนุรักษ์ประเพณีปี๋ใหม่เมือง จำนวน ๑ โครงการ</t>
  </si>
  <si>
    <t>โครงการรดน้ำดำหัวผู้สูงอายุ จำนวน ๑ โครงการ</t>
  </si>
  <si>
    <t>โครงการจัดงานประเพณีลอยกระทง (ยี่เป็ง) จำนวน ๑ โครงการ</t>
  </si>
  <si>
    <t>โครงการสนับสนุนประเพณีสรงน้ำพระธาตุและกู่ครูบา จำนวน ๑ โครงการ</t>
  </si>
  <si>
    <t>โครงการจัดงานประเพณีวันสงกรานต์ จำนวน ๑ โครงการ</t>
  </si>
  <si>
    <t>โครงการส่งเสริมฟื้นฟูประเพณีท้องถิ่น จำนวน ๑ โครงการ</t>
  </si>
  <si>
    <t>องค์การบริหารส่วนตำบลท่าตุ้ม อำเภอป่าซาง จังหวัดลำพูน สังกัดกรมส่งเสริมการปกครองท้องถิ่น กระทรวงมหาดไทย</t>
  </si>
  <si>
    <t>(นายเดชา  ทองเพ็ญ)</t>
  </si>
  <si>
    <t>ตำแหน่ง นายกองค์การบริหารส่วนตำบลท่าตุ้ม</t>
  </si>
  <si>
    <t xml:space="preserve">(ลงชื่อ)                            ผู้จัดทำ             (ลงชื่อ)                            ผู้เห็นชอบ                        </t>
  </si>
  <si>
    <t xml:space="preserve">(ลงชื่อ)                            ผู้เห็นชอบ         </t>
  </si>
  <si>
    <t xml:space="preserve">           (นายวิชัย  สว่างโรจน์)                           (นายเทพนิมิตร  แสนพรหม)                                </t>
  </si>
  <si>
    <t>ตำแหน่ง ปลัดองค์การบริหารส่วนตำบลท่าตุ้ม</t>
  </si>
  <si>
    <t xml:space="preserve">      (นายเทพนิมิตร  แสนพรหม)     </t>
  </si>
  <si>
    <t>(ลงชื่อ)                                ผู้อนุมัติ</t>
  </si>
  <si>
    <t>ขออนุมัติจัดหาตามความจำเป็นตลอดทั้งปี</t>
  </si>
  <si>
    <t>ส่วนการศึกษาฯ</t>
  </si>
  <si>
    <t xml:space="preserve"> หัวหน้าสำนักปลัด</t>
  </si>
  <si>
    <t>ตำแหน่ง ผู้อำนวยการกองช่าง</t>
  </si>
  <si>
    <t>ของกองช่าง  องค์การบริหารส่วนตำบลท่าตุ้ม</t>
  </si>
  <si>
    <t>ค่าใช้จ่ายในการเลือกตั้ง</t>
  </si>
  <si>
    <t>ลำดับ</t>
  </si>
  <si>
    <t>รายการ/จำนวน(หน่วย)</t>
  </si>
  <si>
    <t>งบประมาณ</t>
  </si>
  <si>
    <t>แผนงาน/งาน/โครงการ</t>
  </si>
  <si>
    <t>จำนวน(บาท)</t>
  </si>
  <si>
    <t>เงินนอกงบประมาณ</t>
  </si>
  <si>
    <t>ประเภท</t>
  </si>
  <si>
    <t>วิธีจัดหา</t>
  </si>
  <si>
    <t>หมายเหตุ</t>
  </si>
  <si>
    <t>-</t>
  </si>
  <si>
    <t>ตกลงราคา</t>
  </si>
  <si>
    <t>ของสำนักปลัด องค์การบริหารส่วนตำบลท่าตุ้ม</t>
  </si>
  <si>
    <t>(ลงชื่อ)..........................................................</t>
  </si>
  <si>
    <t>วัสดุไฟฟ้าและวิทยุ</t>
  </si>
  <si>
    <t>วัสดุงานบ้านงานครัว</t>
  </si>
  <si>
    <t>วัสดุเชื้อเพลิงและหล่อลื่น</t>
  </si>
  <si>
    <t>วัสดุคอมพิวเตอร์</t>
  </si>
  <si>
    <t xml:space="preserve">  (นายเทพนิมิตร     แสนพรหม)</t>
  </si>
  <si>
    <t>วัสดุสำนักงาน</t>
  </si>
  <si>
    <t>วัสดุการเกษตร</t>
  </si>
  <si>
    <t>( นางสาวอัญชลี  ธนัญชยานนท์ )</t>
  </si>
  <si>
    <t xml:space="preserve">    (นายมงคล   เรือนแก้ว)</t>
  </si>
  <si>
    <t>สอบราคา</t>
  </si>
  <si>
    <t xml:space="preserve"> </t>
  </si>
  <si>
    <t>ขององค์การบริหารส่วนตำบลท่าตุ้ม</t>
  </si>
  <si>
    <t>รายการ/จำนวน (หน่วย)</t>
  </si>
  <si>
    <t>จำนวน (บาท)</t>
  </si>
  <si>
    <t>สำนักปลัด</t>
  </si>
  <si>
    <t>ส่วนการคลัง</t>
  </si>
  <si>
    <t>แบบ ผด.๓</t>
  </si>
  <si>
    <t>( / ) งวดที่ ๑ (ตุลาคม - มีนาคม)</t>
  </si>
  <si>
    <t>(   ) งวดที่ ๒ (เมษายน - มิถุนายน)</t>
  </si>
  <si>
    <t>(   ) งวดที่ ๓ (กรกฎาคม - กันยายน)</t>
  </si>
  <si>
    <t>ลำดับที่</t>
  </si>
  <si>
    <t>รายการ/จำนวน/(หน่วย)</t>
  </si>
  <si>
    <t>หน่วยงานเจ้าของเงิน</t>
  </si>
  <si>
    <t>แหล่งเงิน</t>
  </si>
  <si>
    <t>ช่วงเวลาที่ต้องเริ่มจัดหาตามแผน</t>
  </si>
  <si>
    <t>ผลการดำเนินงาน</t>
  </si>
  <si>
    <t>เบิกจ่ายแล้วจำนวน(บาท)</t>
  </si>
  <si>
    <t>คงเหลือจำนวน(บาท)</t>
  </si>
  <si>
    <t>กำหนดส่งมอบของ/งานงวดสุดท้าย</t>
  </si>
  <si>
    <t>/</t>
  </si>
  <si>
    <t>แบบ ผด.5</t>
  </si>
  <si>
    <t>รายการ/จำนวน/วงเงิน</t>
  </si>
  <si>
    <t>ลำดับตามแผน</t>
  </si>
  <si>
    <t>วิธีการจัดหา</t>
  </si>
  <si>
    <t>ส่งประกาศอย่างช้า</t>
  </si>
  <si>
    <t>กำหนดยื่นซอง</t>
  </si>
  <si>
    <t>ทำสัญญาภายใน</t>
  </si>
  <si>
    <t>กำหนดส่งมอบ</t>
  </si>
  <si>
    <t>เบิกเงินงวดสุดท้าย</t>
  </si>
  <si>
    <t>จัดหา (ผด.2)</t>
  </si>
  <si>
    <t>ภายใน</t>
  </si>
  <si>
    <t>ภายใน(วัน)</t>
  </si>
  <si>
    <t>ของ องค์การบริหารส่วนตำบลท่าตุ้ม  อำเภอป่าซาง  จังหวัดลำพูน</t>
  </si>
  <si>
    <t>รายการ/จำนวน/</t>
  </si>
  <si>
    <t>ส่งประกาศ</t>
  </si>
  <si>
    <t>ยื่นซอง</t>
  </si>
  <si>
    <t>สัญญา</t>
  </si>
  <si>
    <t>วงเงินตามสัญญา</t>
  </si>
  <si>
    <t>วงเงิน</t>
  </si>
  <si>
    <t>วันที่</t>
  </si>
  <si>
    <t>เลขที่</t>
  </si>
  <si>
    <t>ลงวันที่</t>
  </si>
  <si>
    <t>สิ้นสุดวันที่</t>
  </si>
  <si>
    <t>X</t>
  </si>
  <si>
    <t>รายการ</t>
  </si>
  <si>
    <t>วัสดุโฆษณาและเผยแพร่</t>
  </si>
  <si>
    <t>รวมจ่าย</t>
  </si>
  <si>
    <t>เงินอุดหนุน</t>
  </si>
  <si>
    <t>รวมไตร1</t>
  </si>
  <si>
    <t>รวมไตร2</t>
  </si>
  <si>
    <t>ไตร1+ไตร2</t>
  </si>
  <si>
    <t>(   ) งวดที่ ๑ (ตุลาคม - มีนาคม)</t>
  </si>
  <si>
    <t>แบบ ผด.๒</t>
  </si>
  <si>
    <t>ขององค์การบริหารส่วนตำบลท่าตุ้ม อำเภอป่าซาง จังหวัดลำพูน</t>
  </si>
  <si>
    <t>ช่วงเวลาที่ต้องจัดหา</t>
  </si>
  <si>
    <t>กำหนดส่งมอบ (วัน)</t>
  </si>
  <si>
    <t>แบบ ผด.๑</t>
  </si>
  <si>
    <t>กำหนดส่งมอบ(วัน)</t>
  </si>
  <si>
    <t>วัสดุก่อสร้าง</t>
  </si>
  <si>
    <t>( /  )</t>
  </si>
  <si>
    <t>กรณีพิเศษ</t>
  </si>
  <si>
    <t>จัดหา (ผด.๒)</t>
  </si>
  <si>
    <t>กองช่าง</t>
  </si>
  <si>
    <t>สำรองจ่าย</t>
  </si>
  <si>
    <t>แผนงาน</t>
  </si>
  <si>
    <t>งาน/โครงการ</t>
  </si>
  <si>
    <t>แผนการจ่ายเงิน</t>
  </si>
  <si>
    <t>ผลการดำเนินการ</t>
  </si>
  <si>
    <t>หมวดค่าครุภัณฑ์</t>
  </si>
  <si>
    <t>ลักษณะงาน</t>
  </si>
  <si>
    <t>วิธีการ</t>
  </si>
  <si>
    <t>ที่ดินและสิ่งก่อสร้าง</t>
  </si>
  <si>
    <t>งานที่</t>
  </si>
  <si>
    <t>จัด</t>
  </si>
  <si>
    <t>สอบ</t>
  </si>
  <si>
    <t>ประ</t>
  </si>
  <si>
    <t>ประกาศสอบ</t>
  </si>
  <si>
    <t>งบประมาณที่</t>
  </si>
  <si>
    <t>เงินนอก</t>
  </si>
  <si>
    <t>ที่</t>
  </si>
  <si>
    <t>จำนวน</t>
  </si>
  <si>
    <t>เสร็จ</t>
  </si>
  <si>
    <t>ซื้อ</t>
  </si>
  <si>
    <t>จ้าง</t>
  </si>
  <si>
    <t>ราคา</t>
  </si>
  <si>
    <t>กวด</t>
  </si>
  <si>
    <t>แล้ว</t>
  </si>
  <si>
    <t>ลงนามใน</t>
  </si>
  <si>
    <t>(หน่วยนับ)</t>
  </si>
  <si>
    <t>มี</t>
  </si>
  <si>
    <t>ไม่มี</t>
  </si>
  <si>
    <t>หรือเงินสมทบ</t>
  </si>
  <si>
    <t>(เดือน/ปี)</t>
  </si>
  <si>
    <t>(ล้านบาท)</t>
  </si>
  <si>
    <t>ปีต่อไป</t>
  </si>
  <si>
    <t>การเบิก - จ่าย</t>
  </si>
  <si>
    <t>เป็นไป</t>
  </si>
  <si>
    <t>ไม่</t>
  </si>
  <si>
    <t>ตาม</t>
  </si>
  <si>
    <t>จัดหาโดย</t>
  </si>
  <si>
    <t>การส่งมอบ</t>
  </si>
  <si>
    <t>เงิน</t>
  </si>
  <si>
    <t>แผน</t>
  </si>
  <si>
    <t>(ใช้วิธี)</t>
  </si>
  <si>
    <t>ราคา/ประกวด</t>
  </si>
  <si>
    <t>(วัน/เดือน/ปี)</t>
  </si>
  <si>
    <t>(  /  )</t>
  </si>
  <si>
    <t>ออกแบบหรือ</t>
  </si>
  <si>
    <t>แผนปฎิบัติการ</t>
  </si>
  <si>
    <t>(/)</t>
  </si>
  <si>
    <t>กำหนดคุณ</t>
  </si>
  <si>
    <t>งบต่อเนื่อง</t>
  </si>
  <si>
    <t>ลักษณะเฉพาะ</t>
  </si>
  <si>
    <t>คาดว่าจะลง</t>
  </si>
  <si>
    <t>คาดว่าจะมี</t>
  </si>
  <si>
    <t>เงินนอกงบ</t>
  </si>
  <si>
    <t>ที่ผูกพัน</t>
  </si>
  <si>
    <t>นามใน</t>
  </si>
  <si>
    <t>ได้รับอนุมัติใน</t>
  </si>
  <si>
    <t>ประมาณหรือ</t>
  </si>
  <si>
    <t>เงินสมทบ</t>
  </si>
  <si>
    <t>รายจ่ายเพื่อให้ได้มาซึ่งบริการ</t>
  </si>
  <si>
    <t>วัสดุวิทยาศาสตร์หรือการแพทย์</t>
  </si>
  <si>
    <t>( / ) งวดที่ ๒ (เมษายน - มิถุนายน)</t>
  </si>
  <si>
    <t>( / ) งวดที่ ๓ (กรกฎาคม - กันยายน)</t>
  </si>
  <si>
    <t>แบบ ผด.๖</t>
  </si>
  <si>
    <t>แผน ผด.๔</t>
  </si>
  <si>
    <t>ปีงบประมาณ</t>
  </si>
  <si>
    <t>วงเงินจัดหา (บาท)</t>
  </si>
  <si>
    <t>แผนการจัดหาพัสดุระยะ ๓ ปี (ปีงบประมาณ พ.ศ.๒๕๕๗-๒๕๕๙)</t>
  </si>
  <si>
    <t>โครงการเสริมผิวถนนแอสฟัลติกส์คอนกรีต (โอเวอร์เลย์) บ้านหนองเกิด-บ้านสารภีชัย จำนวน ๑ โครงการ</t>
  </si>
  <si>
    <t>กองช่าง อบจ. กองช่าง อบต.</t>
  </si>
  <si>
    <t>โครงการก่อสร้างถนนลาดยาง ม.๔, ๑๐ ต.ท่าตุ้ม จำนวน ๑ โครงการ</t>
  </si>
  <si>
    <t>โครงการก่อสร้างถนนลาดยางเขตติดต่อระหว่างบ้านหนองบัวกับบ้านไร่ป่าคา จำนวน ๑ โครงการ</t>
  </si>
  <si>
    <t>โครงการก่อสร้างสะพานคอนกรีตเสริมเหล็ก ม.๑, ๕ และ ม.๘ จำนวน ๑ โครงการ</t>
  </si>
  <si>
    <t>โครงการขุดลอกลำเหมืองในตำบลท่าตุ้ม จำนวน ๑ โครงการ</t>
  </si>
  <si>
    <t>โครงการซ่อมแซมถนนคอนกรีตเสริมเหล็ก ในตำบลท่าตุ้ม จำนวน ๑ โครงการ</t>
  </si>
  <si>
    <t>โครงการซ่อมแซมถนนลาดยาง ในตำบลท่าตุ้ม จำนวน ๑ โครงการ</t>
  </si>
  <si>
    <t>โครงการก่อสร้างเขื่อน/พนังป้องกันตลิ่งพัง ในตำบลท่าตุ้ม จำนวน ๑ โครงการ</t>
  </si>
  <si>
    <t>โครงการก่อสร้างรางระบายน้ำในตำบลท่าตุ้ม จำนวน ๑ โครงการ</t>
  </si>
  <si>
    <t>โครงการวางท่อส่งน้ำภายในตำบลท่าตุ้ม จำนวน ๑ โครงการ</t>
  </si>
  <si>
    <t>โครงการขุดลอกรางระบายน้ำในตำบลท่าตุ้ม จำนวน ๑ โครงการ</t>
  </si>
  <si>
    <t>โครงการซ่อมแซมรางระบายน้ำในตำบลท่าตุ้ม จำนวน ๑ โครงการ</t>
  </si>
  <si>
    <t>โครงการก่อสร้างถนนลูกรังบดอัดในตำบลท่าตุ้ม จำนวน ๑ โครงการ</t>
  </si>
  <si>
    <t>โครงการเสริมผิวถนนลาดยางแอสฟัลล์ติกคอนกรีตในตำบลท่าตุ้ม จำนวน ๑ โครงการ</t>
  </si>
  <si>
    <t>โครงการปรับปรุงระบบประปาหมู่บ้าน ม.๑๔ จำนวน ๑ โครงการ</t>
  </si>
  <si>
    <t>โครงการวางท่อส่งน้ำประปาหมู่บ้านในตำบลท่าตุ้ม จำนวน ๑ โครงการ</t>
  </si>
  <si>
    <t>โครงการซ่อมแซม/ปรับปรุงระบบประปาหมู่บ้านในตำบลท่าตุ้ม จำนวน ๑ โครงการ</t>
  </si>
  <si>
    <t>โครงการก่อสร้างระบบประปาหมู่บ้านในตำบลท่าตุ้ม จำนวน ๑ โครงการ</t>
  </si>
  <si>
    <t>โครงการเสริมหูช้างขอบสะพานเชื่อมถนนซอย ๑/๓ และ ซอย ๒ ม.๔ จำนวน ๑ โครงการ</t>
  </si>
  <si>
    <t>โครงการปรับปรุงท่อส่งน้ำเพื่อการเกษตรในตำบลท่าตุ้ม จำนวน ๑ โครงการ</t>
  </si>
  <si>
    <t>โครงการวางท่อส่งน้ำเพื่อการเกษตร (ท่อพีวีซี) ในตำบลท่าตุ้ม จำนวน ๑ โครงการ</t>
  </si>
  <si>
    <t>โครงการหนึ่งใจ...ให้ประชาชนในตำบลท่าตุ้ม จำนวน ๑ โครงการ</t>
  </si>
  <si>
    <t>โครงการปรับปรุงซ่อมแซมไฟฟ้าสาธารณะในตำบลท่าตุ้ม จำนวน ๑ โครงการ</t>
  </si>
  <si>
    <t>โครงการก่อสร้างอาคารอเนกประสงค์ ม.๔, ๗ จำนวน ๑ โครงการ</t>
  </si>
  <si>
    <t>โครงการก่อสร้างศาลาที่พักริมทาง ม.๔, ๙ จำนวน ๑ โครงการ</t>
  </si>
  <si>
    <t>โครงการจัดซื้อที่ดินสาธารณประโยชน์ของ อบต.ท่าตุ้ม จำนวน ๑ โครงการ</t>
  </si>
  <si>
    <t>โครงการจัดทำป้ายบอกทางของ อบต.ท่าตุ้ม จำนวน ๑ โครงการ</t>
  </si>
  <si>
    <t>โครงการจัดซื้อเครื่องขยายเสียงใช้ในกิจกรรมสาธารณะประโยชน์ของหมู่บ้าน ม.๘ จำนวน ๑ โครงการ</t>
  </si>
  <si>
    <t>โครงการจัดซื้อวัสดุการศึกษาให้กับเด็กเล็ก ศพด.บ้านท่าตุ้ม, บ้านหนองบัว และบ้านมงคลชัย จำนวน ๑ โครงการ</t>
  </si>
  <si>
    <t>โครงการจัดซื้อวัสดุงานบ้านงานครัวให้กับเด็กเล็ก ศพด.บ้านท่าตุ้ม, บ้านหนองบัว และบ้านมงคลชัย จำนวน ๑ โครงการ</t>
  </si>
  <si>
    <t>โครงการอาหารกลางวันสำหรับเด็กเล็กของ ศพด.บ้านท่าตุ้ม จำนวน ๑ โครงการ</t>
  </si>
  <si>
    <t>โครงการอาหารกลางวันสำหรับเด็กเล็กของ ศพด.บ้านมงคลชัย จำนวน ๑ โครงการ</t>
  </si>
  <si>
    <t>โครงการอาหารกลางวันสำหรับเด็กเล็กของ ศพด.บ้านหนองบัว จำนวน ๑ โครงการ</t>
  </si>
  <si>
    <t>โครงการอาหารเสริม(นม)แก่เด็กเล็กของ ศพด.บ้านท่าตุ้ม, บ้านหนองบัว และบ้านมงคลชัย จำนวน ๑ โครงการ</t>
  </si>
  <si>
    <t>โครงการจัดกิจกรรมทัศนศึกษาของเด็กเล็กใน ศพด.ตำบลท่าตุ้ม ทั้ง ๓ แห่ง จำนวน ๑ โครงการ</t>
  </si>
  <si>
    <t>โครงการจัดหาเครื่องเล่นเด็กของ ศพด.ตำบลท่าตุ้ม ทั้ง ๓ แห่ง จำนวน ๑ โครงการ</t>
  </si>
  <si>
    <t>โครงการก่อสร้าง ศพด.ของอบต.ท่าตุ้ม</t>
  </si>
  <si>
    <t>โครงการปรับปรุง/ซ่อมแซม ศพด.ตำบลท่าตุ้ม จำนวน ๑ โครงการ</t>
  </si>
  <si>
    <t>โครงการก่อสร้าง ศพด. ตำบลท่าตุ้ม จำนวน ๑ โครงการ</t>
  </si>
  <si>
    <t>โครงการพัฒนาศักยภาพคณะกรรมการศูนย์พัฒนาเด็กเล็ก ทั้ง ๓ ศูนย์ จำนวน ๑ โครงการ</t>
  </si>
  <si>
    <t>โครงการวันบัณฑิตน้อย (ส่งน้องข้ามฟาก) จำนวน ๑ โครงการ</t>
  </si>
  <si>
    <t>โครงการจัดงานวันเด็กแห่งชาติ จำนวน ๑ โครงการ</t>
  </si>
  <si>
    <t>โครงการจัดซื้ออุปกรณ์กีฬาหรือเครื่องออกกำลังกาย จำนวน ๑ โครงการ</t>
  </si>
  <si>
    <t>โครงการสนับสนุนการแข่งขันกีฬาทุกประเภท สำหรับทุกวัย จำนวน ๑ โครงการ</t>
  </si>
  <si>
    <t>โครงการก่อสร้างลานกีฬาในตำบลท่าตุ้ม จำนวน ๑ โครงการ</t>
  </si>
  <si>
    <t>โครงการส่งเสริมกิจกรรมการออกกำลังกายในตำบลท่าตุ้ม จำนวน ๑ โครงการ</t>
  </si>
  <si>
    <t>โครงการจัดการแข่งขันกีฬาประจำปีตำบลท่าตุ้ม จำนวน ๑ โครงการ</t>
  </si>
  <si>
    <t>โครงการป้องกันและควบคุมโรคติดต่อต่าง ๆ ในตำบลท่าตุ้ม จำนวน ๑ โครงการ</t>
  </si>
  <si>
    <t>โครงการป้องกันและควบคุมโรคพิษสุนัขบ้าในตำบลท่าตุ้ม จำนวน ๑ โครงการ</t>
  </si>
  <si>
    <t>โครงการวางแผนครอบครัวสุนัขและแมว จำนวน ๑ โครงการ</t>
  </si>
  <si>
    <t>โครงการรณรงค์ป้องกันโรคไข้เลือดออกในตำบลท่าตุ้ม จำนวน ๑ โครงการ</t>
  </si>
  <si>
    <t>โครงการจัดทำแผนแม่บทพัฒนาส้วมสาธารณะไทย ระยะที่ ๓ ในตำบลท่าตุ้ม จำนวน ๑ โครงการ</t>
  </si>
  <si>
    <t>โครงการเตรียมความพร้อมการให้บริการทางการแพทย์และการสาธารณสุขเพื่อรองรับประเทศไทยเข้าสู่ประชาคมเศรษฐกิจอาเซียน จำนวน ๑ โครงการ</t>
  </si>
  <si>
    <t>สำนักปลัด ส่วนการศึกษาฯ</t>
  </si>
  <si>
    <t>โครงการก่อสร้างซ่อมแซมที่อยู่อาศัยให้กับราษฎรผู้ยากไร้ในตำบลท่าตุ้ม จำนวน ๑ โครงการ</t>
  </si>
  <si>
    <t>โครงการสงเคราะห์ผู้ด้อยโอกาสในตำบลท่าตุ้ม จำนวน ๑ โครงการ</t>
  </si>
  <si>
    <t>ส่วนสวัสดิการ</t>
  </si>
  <si>
    <t>โครงการสงเคราะห์ผู้พิการในตำบลท่าตุ้ม จำนวน ๑ โครงการ</t>
  </si>
  <si>
    <t>โครงการสงเคราะห์ผู้สูงอายุในตำบลท่าตุ้ม จำนวน ๑ โครงการ</t>
  </si>
  <si>
    <t>โครงการสงเคราะห์ผู้ติดเชื้อ (เอดส์) ในตำบลท่าตุ้ม จำนวน ๑ โครงการ</t>
  </si>
  <si>
    <t>โครงการสงเคราะห์ผู้ป่วยเรื้อรัง ในตำบลท่าตุ้ม จำนวน ๑ โครงการ</t>
  </si>
  <si>
    <t>โครงการสงเคราะห์เด็กยากจน ในตำบลท่าตุ้ม จำนวน ๑ โครงการ</t>
  </si>
  <si>
    <t>โครงการสงเคราะห์เด็กพิการและด้อยโอกาส ในตำบลท่าตุ้ม จำนวน ๑ โครงการ</t>
  </si>
  <si>
    <t>โครงการเยี่ยมบ้านเพื่อฟื้นฟูสุขภาพผู้สูงอายุ, ผู้ป่วยเรื้อรังและผู้พิการที่ไม่สามารถช่วยเหลือตัวเองได้ในตำบลท่าตุ้ม จำนวน ๑ โครงการ</t>
  </si>
  <si>
    <t>โครงการป้องกันช่วยเหลือผู้ประสบภัยพิบัติต่าง ๆ ในตำบลท่าตุ้ม จำนวน ๑ โครงการ</t>
  </si>
  <si>
    <t>โครงการป้องกัน ช่วยเหลือ และแก้ไขปัญหาความเดือดร้อนของประชาชนในตำบลท่าตุ้ม (อบต.เคลื่อนที่) จำนวน ๑ โครงการ</t>
  </si>
  <si>
    <t>โครงการสนับสนุนการดำเนินงานของศูนย์พัฒนาครอบครัวในชุมชน จำนวน ๑ โครงการ</t>
  </si>
  <si>
    <t>โครงการสนับสนุนการจัดทำสิ่งอำนวยความสะดวกให้แก่ผู้พิการในตำบลท่าตุ้ม จำนวน ๑ โครงการ</t>
  </si>
  <si>
    <t>โครงการสงเคราะห์และพัฒนาคนไร้ที่พึ่งในตำบลท่าตุ้ม จำนวน ๑ โครงการ</t>
  </si>
  <si>
    <t>โครงการจัดทำป้ายประชาสัมพันธ์การชำระภาษีของผู้มีหน้าที่เสียภาษีเงินได้ต่าง ๆ จำนวน ๑ โครงการ</t>
  </si>
  <si>
    <t>โครงการเพิ่มประสิทธิภาพการจัดเก็บภาษี จำนวน ๑ โครงการ</t>
  </si>
  <si>
    <t>โครงการจัดทำสื่อ วารสาร ปฏิทินประชาสัมพันธ์กิจกรรมของ อบต.ท่าตุ้ม จำนวน ๑ โครงการ</t>
  </si>
  <si>
    <t>โครงการจัดซื้อวัสดุสำนักงาน (หนังสือพิมพ์หมู่บ้าน) ในตำบลท่าตุ้ม จำนวน ๑ โครงการ</t>
  </si>
  <si>
    <t>โครงการจัดซื้อวัสดุใช้ในงานป้องกันและบรรเทาสาธารณภัย งานป้องกันฯ จำนวน ๑ โครงการ</t>
  </si>
  <si>
    <t>ทุกส่วนงาน อบต.</t>
  </si>
  <si>
    <t>โครงการจัดซื้อวัสดุสำนักงาน  จำนวน ๑ โครงการ</t>
  </si>
  <si>
    <t>โครงการจัดซื้อครุภัณฑ์สำนักงาน  จำนวน ๑ โครงการ</t>
  </si>
  <si>
    <t>โครงการจัดซื้อวัสดุคอมพิวเตอร์  จำนวน ๑ โครงการ</t>
  </si>
  <si>
    <t>โครงการจัดซื้อครุภัณฑ์คอมพิวเตอร์ . จำนวน ๑ โครงการ</t>
  </si>
  <si>
    <t>โครงการจัดซื้อวัสดุงานบ้านงานครัว . จำนวน ๑ โครงการ</t>
  </si>
  <si>
    <t>โครงการจัดซื้อครุภัณฑ์งานบ้านงานครัว  จำนวน ๑ โครงการ</t>
  </si>
  <si>
    <t>โครงการจัดซื้อวัสดุงานบ้านงานครัว  จำนวน ๑ โครงการ</t>
  </si>
  <si>
    <t>โครงการจัดซื้อวัสดุสำนักงาน . จำนวน ๑ โครงการ</t>
  </si>
  <si>
    <t>โครงการจัดซื้อวัสดุคอมพิวเตอร์ . จำนวน ๑ โครงการ</t>
  </si>
  <si>
    <t>ทุกส่วนงาน อบต</t>
  </si>
  <si>
    <t>โครงการจัดซื้อครุภัณฑ์ใช้ในงานป้องกันและบรรเทาสาธารณภัย งานป้องกันฯ จำนวน ๑ โครงการ</t>
  </si>
  <si>
    <t>โครงการสนับสนุนการจัดกิจกรรมวันท้องถิ่นไทย จำนวน ๑ โครงการ</t>
  </si>
  <si>
    <t>โครงการจัดทำและวางผังชุมชนในตำบลท่าตุ้ม จำนวน ๑ โครงการ</t>
  </si>
  <si>
    <t>สำนักปลัด กองช่าง</t>
  </si>
  <si>
    <t>โครงการปรับปรุงภูมิทัศน์โดยรอบ อบต.ท่าตุ้ม จำนวน ๑ โครงการ</t>
  </si>
  <si>
    <t>โครงการปรับปรุงซ่อมแซมอาคารและสิ่งก่อสร้างที่อยู่ในความรับผิดชอบของ อบต.ท่าตุ้ม จำนวน ๑ โครงการ</t>
  </si>
  <si>
    <t>โครงการจัดการเลือกตั้งต่าง ๆ ในระดับท้องถิ่นและระดับประเทศ จำนวน ๑ โครงการ</t>
  </si>
  <si>
    <t>โครงการฝึกอบรมอาสาสมัครประชาธิปไตย จำนวน ๑ โครงการ</t>
  </si>
  <si>
    <t>โครงการสำรวจและจัดเก็บข้อมูลพื้นฐานในการจัดทำแผนพัฒนา อบต.ท่าตุ้ม จำนวน ๑ โครงการ</t>
  </si>
  <si>
    <t>โครงการจัดทำแผนยุทธศาสตร์การพัฒนาและแผนพัฒนาท้องถิ่น จำนวน ๑ โครงการ</t>
  </si>
  <si>
    <t>โครงการสนับสนุนการพัฒนาส่งเสริมศักยภาพคณะกรรมการสตรีหมู่บ้านในตำบลท่าตุ้ม จำนวน ๑ โครงการ</t>
  </si>
  <si>
    <t>โครงการจัดทำแผนพัฒนาสตรีหมู่บ้าน (กพ.สม.) ในตำบลท่าตุ้ม จำนวน ๑ โครงการ</t>
  </si>
  <si>
    <t>โครงการจัดทำแผนพัฒนาสตรีตำบลท่าตุ้ม (กพ.สต.) ในตำบลท่าตุ้ม จำนวน ๑ โครงการ</t>
  </si>
  <si>
    <t>โครงการส่งเสริมและสนับสนุนพัฒนาศักยภาพคณะกรรมการหมู่บ้าน (กม.) ในตำบลท่าตุ้ม จำนวน ๑ โครงการ</t>
  </si>
  <si>
    <t>๑</t>
  </si>
  <si>
    <t>ค่าใช้จ่ายในการฝึกอบรมอาสาสมัครปกป้องสถาบัน (อสป.)</t>
  </si>
  <si>
    <t>๒</t>
  </si>
  <si>
    <t>สาเหตุที่ไม่สามารถดำเนินการได้ตามแผน</t>
  </si>
  <si>
    <t>มีเงินเหลือจำนวน(บาท)</t>
  </si>
  <si>
    <t xml:space="preserve"> -ไม่มี -</t>
  </si>
  <si>
    <t xml:space="preserve">           (นายวิชัย  สว่างโรจน์)                        </t>
  </si>
  <si>
    <t>ตำแหน่ง ปลัด อบต. รักษาราชการแทน</t>
  </si>
  <si>
    <t xml:space="preserve">          ตำแหน่ง เจ้าหน้าที่พัสดุ                                      </t>
  </si>
  <si>
    <t xml:space="preserve">                                                                       </t>
  </si>
  <si>
    <t>งานก่อสร้างโครงสร้างพื้นฐาน</t>
  </si>
  <si>
    <t>แผนปฏิบัติการจัดซื้อจัดจ้าง ประจำปีงบประมาณ พ.ศ.๒๕๕๘</t>
  </si>
  <si>
    <t>แบบรายงานผลการดำเนินงานตามแผนปฏิบัติการจัดซื้อจัดจ้างประจำปีงบประมาณ พ.ศ.๒๕๕๘</t>
  </si>
  <si>
    <t>- ไม่มี -</t>
  </si>
  <si>
    <t>กองคลัง</t>
  </si>
  <si>
    <t>ของกองคลัง  องค์การบริหารส่วนตำบลท่าตุ้ม</t>
  </si>
  <si>
    <t>ประเภทค่าใช้สอย</t>
  </si>
  <si>
    <t>งานบริหารทั่วไป</t>
  </si>
  <si>
    <t>ประเภทค่าวัสดุ</t>
  </si>
  <si>
    <t>ประเภทค่าครุภัณฑ์สำนักงาน</t>
  </si>
  <si>
    <t>ประเภทค่าครุภัณฑ์ไฟฟ้าและวิทยุ</t>
  </si>
  <si>
    <t>ประเภทค่าครุภัณฑ์โฆษณาและเผยแพร่</t>
  </si>
  <si>
    <t>ค่าใช้จ่ายในการจัดทำแผนพัฒนาองค์การบริหารส่วนตำบลท่าตุ้ม</t>
  </si>
  <si>
    <t>งานวางแผนสถิติและวิชาการ</t>
  </si>
  <si>
    <t>ค่าจ้างที่ปรึกษาเพื่อทำการศึกษาวิจัย ประเมินผล หรือพัฒนาระบบต่าง ๆ ซึ่งมิใช่การพัฒนาเพื่อจัดหาหรือปรับปรุงครุภัณฑ์ที่ดินและสิ่งก่อสร้าง ขององค์การบริหารส่วนตำบลท่าตุ้ม</t>
  </si>
  <si>
    <t>งานบริหารงานคลัง</t>
  </si>
  <si>
    <t>ประเภทค่าครุภัณฑ์คอมพิวเตอร์</t>
  </si>
  <si>
    <t>งานบริหารทั่วไปเกี่ยวกับการรักษาความสงบภายใน</t>
  </si>
  <si>
    <t>งานป้องกันภัยฝ่ายพลเรือนและระงับอัคคีภัย</t>
  </si>
  <si>
    <t>งานบริหารทั่วไปเกี่ยวกับการศึกษา</t>
  </si>
  <si>
    <t>60 วัน</t>
  </si>
  <si>
    <t>วัสดุสำนักงาน (หนังสือพิมพ์หมู่บ้าน 14 หมู่บ้าน)</t>
  </si>
  <si>
    <t>ประเภทค่าที่ดินและสิ่งก่อสร้าง</t>
  </si>
  <si>
    <t>งานระดับก่อนวัยเรียนและประถมฯ</t>
  </si>
  <si>
    <t>ค่าอาหารเสริม (นม) ศูนย์พัฒนาเด็กเล็กในสังกัดองค์การบริหารส่วนตำบลท่าตุ้ม</t>
  </si>
  <si>
    <t>ค่าอาหารเสริม (นม) โรงเรียนสังกัดสำนักงานคณะกรรมการศึกษาขั้นพื้นฐาน เขตพื้นที่การศึกษาลำพูน เขต 1 ในพื้นที่รับผิดชอบขององค์การบริหารส่วนตำบลท่าตุ้ม</t>
  </si>
  <si>
    <t>จัดซื้อพัดลมติดผนัง</t>
  </si>
  <si>
    <t>งานบริการสาธารณสุขและงานสาธารณสุขอื่น</t>
  </si>
  <si>
    <t>งานสวัสดิการสังคมและสังคมสงเคราะห์</t>
  </si>
  <si>
    <t>งานส่งเสริมและสนับสนุนความเข้มแข็งของชุมชน</t>
  </si>
  <si>
    <t>งานกีฬาและนันทนาการ</t>
  </si>
  <si>
    <t>งานศาสนาวัฒนธรรมท้องถิ่น</t>
  </si>
  <si>
    <t>งานบริหารทั่วไปเกี่ยวกับอุตสาหกรรมและการโยธา</t>
  </si>
  <si>
    <t>ค่าใช้จ่ายในการก่อสร้างถนนคอนกรีตเสริมเหล็ก บ้านหนองบัว หมู่ที่ 2</t>
  </si>
  <si>
    <t>ค่าใช้จ่ายในการก่อสร้างถนนคอนกรีตเสริมเหล็ก บ้านร่องช้าง หมู่ที่ 5</t>
  </si>
  <si>
    <t>ค่าใช้จ่ายในการก่อสร้างถนนคอนกรีตเสริมเหล็ก บ้านป่าสีเสียด หมู่ที่ 8</t>
  </si>
  <si>
    <t>ค่าใช้จ่ายในการเสริมผิวถนนลาดยางแอสฟัลติกคอนกรีต บ้านหนองเกิด หมู่ที่ 3</t>
  </si>
  <si>
    <t>ค่าใช้จ่ายในการเสริมผิวถนนลาดยางแอสฟัลติกคอนกรีต บ้านสารภีชัย หมู่ที่ 12</t>
  </si>
  <si>
    <t>งานส่งเสริมการเกษตร</t>
  </si>
  <si>
    <t>ค่าใช้จ่ายในการเจาะบ่อบาดาลเพื่อการเกษตร บ้านแม่อาวน้อย หมู่ที่ 9</t>
  </si>
  <si>
    <t>งานอนุรักษ์แหล่งน้ำและป่าไม้</t>
  </si>
  <si>
    <t>งบกลาง</t>
  </si>
  <si>
    <t>ผู้อำนวยการกองคลัง</t>
  </si>
  <si>
    <t>ค่าใช้จ่ายในการจัดทำปฏิทินประจำปี สื่อสิ่งพิมพ์ต่าง ๆ สำหรับเผยแพร่ประชาสัมพันธ์</t>
  </si>
  <si>
    <t>180 วัน</t>
  </si>
  <si>
    <t>ประมูลจ้างด้วยระบบอิเล็กทรอนิกส์</t>
  </si>
  <si>
    <t>เงินอุดหนุนเฉพาะกิจ</t>
  </si>
  <si>
    <t>แบบ ผด.2</t>
  </si>
  <si>
    <t>ช่วงเวลาที่ต้องจัดหาตาม ผด.2</t>
  </si>
  <si>
    <t>จำนวนเงินหลังโอนลดโอนเพิ่ม</t>
  </si>
  <si>
    <t xml:space="preserve">(ลงชื่อ)                                        </t>
  </si>
  <si>
    <t xml:space="preserve">(ลงชื่อ)                                          (ลงชื่อ)                                                     </t>
  </si>
  <si>
    <t>ไม่ได้ดำเนินการ</t>
  </si>
  <si>
    <t>หมายเหตุ :</t>
  </si>
  <si>
    <t>ขั้นตอนที่ 1  หมายถึง  ผลการดำเนินงานอยู่ในขั้นเตรียมการ เช่น การพิมพ์เอกสารการจัดซื้อจัดจ้าง การกำหนดรูปแบบ การกำหนดราคากลาง</t>
  </si>
  <si>
    <t xml:space="preserve">                             และอื่น ๆ ที่ยังไม่ถึงขั้นตอนการอนุมัติสั่งซื้อสั่งจ้าง</t>
  </si>
  <si>
    <t>ขั้นตอนที่ 2  หมายถึง  ผลการดำเนินงานอยู่ในขั้นตอนหลังการอนุมัติสั่งซื้อสั่งจ้างแล้วแต่ยังไม่ได้ลงนามในสัญญาหรือข้อตกลง</t>
  </si>
  <si>
    <t>ขั้นตอนที่ 3  หมายถึง  ผลการดำเนินงานอยู่ในขั้นตอนลงนามในสัญญาหรือข้อตกลงแล้ว แต่ยังไม่ได้ส่งมอบของหรืองานจ้าง</t>
  </si>
  <si>
    <t>ขั้นตอนที่ 4  หมายถึง  ผลการดำเนินงานอยู่ในขั้นตอนที่มีการส่งมอบของหรืองานจ้างแล้ว แต่ยังไม่ได้เบิกจ่ายเงิน</t>
  </si>
  <si>
    <t>ขั้นตอนที่ 5  หมายถึง  ผลการดำเนินงานเสร็จเรียบร้อยทั้งหมดหรือบางส่วนและมีการเบิกจ่ายเงินแล้ว</t>
  </si>
  <si>
    <t xml:space="preserve">(ลงชื่อ)                                  </t>
  </si>
  <si>
    <t xml:space="preserve">(ลงชื่อ)                                 </t>
  </si>
  <si>
    <t xml:space="preserve">(ลงชื่อ)                                </t>
  </si>
  <si>
    <t xml:space="preserve">             ผู้อำนวยการกองคลัง</t>
  </si>
  <si>
    <t>แบบรายงานผลการดำเนินงานตามแผนปฏิบัติการจัดซื้อจัดจ้างประจำปีงบประมาณ พ.ศ.๒๕๕9</t>
  </si>
  <si>
    <t>1 แห่ง</t>
  </si>
  <si>
    <t>ธ.ค.๕๘-ม.ค.๕๙</t>
  </si>
  <si>
    <t>วัสดเชื้อเพลิงและหล่อลื่น</t>
  </si>
  <si>
    <t>คอมพิวเตอร์</t>
  </si>
  <si>
    <t>เครื่องพิมพ์</t>
  </si>
  <si>
    <t>เครื่องสำรองไฟฟ้า</t>
  </si>
  <si>
    <t>กองการศึกษา</t>
  </si>
  <si>
    <t>พัดลมติดผนัง</t>
  </si>
  <si>
    <t>เครื่องปรับอากาศ</t>
  </si>
  <si>
    <t>วัสดุวิทยาศาสตร์</t>
  </si>
  <si>
    <t>วัสดุดินลูกรัง</t>
  </si>
  <si>
    <t>กระจกโค้ง</t>
  </si>
  <si>
    <t>แผนการจัดหาพัสดุ ประจำปีงบประมาณ พ.ศ.๒๕60</t>
  </si>
  <si>
    <t>ต.ค.59-ก.ย.60</t>
  </si>
  <si>
    <t>ต.ค.๕๙-ก.ย.๖๐</t>
  </si>
  <si>
    <t>ค่าใช้จ่ายเพื่อพัฒนาบุคลากรของ องค์การบริหารส่วนตำบลท่าตุ้ม</t>
  </si>
  <si>
    <t>จัดซื้อเครื่องถ่ายเอกสารระบบดิจิตอล</t>
  </si>
  <si>
    <t>จัดซื้อเครื่องปรับอากาศชนิดแขวน มีระบบฟอกอากาศ</t>
  </si>
  <si>
    <t>จัดซื้อกล้องถ่ายภาพนิ่งระบบดิจิตอล</t>
  </si>
  <si>
    <t>จัดซื้อเครื่องคอมพิวเตอร์สำหรับสำนักงานในการปฏิบัติงานและประมวลผล</t>
  </si>
  <si>
    <t>จัดซื้อเครื่องสำรองไฟฟ้า</t>
  </si>
  <si>
    <t>ต.ค.๕๙-ก.ย.๖0</t>
  </si>
  <si>
    <t>รายจ่ายเพื่อการพัฒนารายได้ขององค์การบริหารส่วนตำบลท่าตุ้ม</t>
  </si>
  <si>
    <t>ค่าบำรุงรักษาและซ่อมแซมยานพาหนะ</t>
  </si>
  <si>
    <t>ค่าบำรุงรักษาและซ่อมแซมทรัพย์สินที่ใช้ในการปฏิบัติงาน</t>
  </si>
  <si>
    <t>จัดซื้อเครื่องคอมพิวเตอร์สำหรับปฏิบัติงานและงานประมวลผล</t>
  </si>
  <si>
    <t>จัดซื้อเครื่องพิมพ์แบบฉีดหมึก(Inkjet Printer)</t>
  </si>
  <si>
    <t>จัดซื้ออุปกรณ์จัดเก็บระบบเครือข่ายการใช้งานอินเตอร์เน็ต</t>
  </si>
  <si>
    <t>ค่าใช้จ่ายในการส่งเสริมการป้องกันและแก้ไขปัญหายาเสพติดในพื้นที่รับผิดชอบ</t>
  </si>
  <si>
    <t>ค่าใช้จ่ายในด้านการป้องกันและแก้ไขปัญหายาเสพติด</t>
  </si>
  <si>
    <t>ค่าใช้จ่ายในการสนับสนุนการจัดกิจกรรมชุมนุมลูกเสือชาวบ้านตำบลท่าตุ้ม</t>
  </si>
  <si>
    <t>ค่าใช้จ่ายในการฝึกอบรมเจ้าหน้าที่ป้องกันและบรรเทาสาธารณภัยและการแพทย์ฉุกเฉิน</t>
  </si>
  <si>
    <t>ค่าใช้จ่ายเป็นค่าติดตั้งกระจกโค้งจราจรบริเวณทางแยกอันตราย</t>
  </si>
  <si>
    <t>ประเภทค่าครุภัณฑ์การเกษตร</t>
  </si>
  <si>
    <t>จัดซื้อเครื่องพ่นยาแบบใช้แรงดันของเหลวชนิดตั้งพื้น</t>
  </si>
  <si>
    <t>จัดซื้อเครื่องรับส่งวิทยุแบบ VHF/FM ชนิดมือถือ</t>
  </si>
  <si>
    <t>จัดซื้อเครื่องรับส่งวิทยุแบบ VHF/FM ชนิดประจำที่</t>
  </si>
  <si>
    <t>พ.ย.๕9-ธ.ค.๕9</t>
  </si>
  <si>
    <t>ค่าใช้จ่ายเพื่อการพัฒนาเด็กและเยาวชนในตำบลท่าตุ้ม</t>
  </si>
  <si>
    <t>ประเภทค่าครุภัณฑ์วิทยาศาสตร์หรือการแพทย์</t>
  </si>
  <si>
    <t>จัดซื้อเตียงปฐมพยาบาล</t>
  </si>
  <si>
    <t>ค่าก่อสร้างหลังคาหน้าศูนย์พัฒนาเด็กเล็กองค์การบริหารส่วนตำบลท่าตุ้ม</t>
  </si>
  <si>
    <t>ค่าก่อสร้างอาคารเก็บเอกสารด้านหลังศูนย์พัฒนาเด็กเล็กองค์การบริหารส่วนตำบลท่าตุ้ม</t>
  </si>
  <si>
    <t>ค่าใช้จ่ายในการส่งเสริมสุขภาพการป้องกันโรคและควบคุมโรค</t>
  </si>
  <si>
    <t>ค่าใช้จ่ายในการบริหารจัดการ เรื่องขยะในชุมชน/ครัวเรือน</t>
  </si>
  <si>
    <t>ค่าใช้จ่ายในการอบรมด้านสุขาภิบาลอาหาร</t>
  </si>
  <si>
    <t>จัดซื้อเครื่องพ่นหมอกควัน</t>
  </si>
  <si>
    <t>ค่าใช้จ่ายในการส่งเสริมและพัฒนาผู้ด้อยโอกาสและคนไร้ที่พึ่ง</t>
  </si>
  <si>
    <t>ค่าใช้จ่ายในการส่งเสริมและพัฒนาผู้สูงอายุ</t>
  </si>
  <si>
    <t>ค่าใช้จ่ายในการส่งเสริมและพัฒนาผู้พิการ</t>
  </si>
  <si>
    <t>ค่าใช้จ่ายในการส่งเสริมและพัฒนาอาชีพ</t>
  </si>
  <si>
    <t>ค่าใช้จ่ายในการส่งเสริมและพัฒนาสตรี</t>
  </si>
  <si>
    <t>ค่าใช้จ่ายในการส่งเสริมและพัฒนาศักยภาพผู้นำองค์กรชุมชนในตำบลท่าตุ้ม</t>
  </si>
  <si>
    <t>ค่าใช้จ่ายในการส่งเสริมและพัฒนาการกีฬาประเภทต่างๆ</t>
  </si>
  <si>
    <t>ค่าใช้จ่ายในการส่งเสริมและทำนุบำรุงพระพุทธศาสนา</t>
  </si>
  <si>
    <t>ค่าใช้จ่ายในการส่งเสริมและอนุรักษ์ศิลปวัฒนธรรมและภูมิปัญญาท้องถิ่น</t>
  </si>
  <si>
    <t>ค่าใช้จ่ายในการส่งเสริมเส้นทางการท่องเที่ยวตามสถานที่ต่างๆในตำบลท่าตุ้ม</t>
  </si>
  <si>
    <t>งานวิชาการวางแผนและส่งเสริมการท่องเที่ยว</t>
  </si>
  <si>
    <t xml:space="preserve">วัสดุก่อสร้าง และวัสดุอื่น ที่เป็นรายละเอียดของวัสดุก่อสร้างสำหรับปรับปรุงซ่อมแซม </t>
  </si>
  <si>
    <t>วัสดุก่อสร้างบ้านท้องถิ่นไทย</t>
  </si>
  <si>
    <t>ต.ค.๕9-ก.ย.60</t>
  </si>
  <si>
    <t>ค่าใช้จ่ายในการบำรุงรักษาซ่อมแซมสิ่งก่อสร้างต่างๆที่อยู่ในความดูแลและรับผิดชอบขององค์การบริหารส่วนตำบลท่าตุ้ม</t>
  </si>
  <si>
    <t>ค่าใช้จ่ายในการซ่อมแซมถนนคอนกรีตโดยการเสริมผิวถนนลาดยางแอสฟัสติกส์</t>
  </si>
  <si>
    <t>ค่าใช้จ่ายในการปรับปรุงภูมิทัศน์บริเวณโดยรอบห้องสุขาสำหรับให้บริการประชาชน</t>
  </si>
  <si>
    <t xml:space="preserve">ค่าใช้จ่ายในการปรับปรุงอาคารเอนกประสงค์ โดยการติดตั้งฝ้าเพดาน </t>
  </si>
  <si>
    <t>ค่าใช้จ่ายในการก่อสร้างลานกีฬา บ้านหนองหมู หมู่ที่ 6</t>
  </si>
  <si>
    <t>ค่าใช้จ่ายในการก่อสร้างลานกีฬา บ้านมงคลชัย หมู่ที่ 10</t>
  </si>
  <si>
    <t>ค่าใช้จ่ายในการก่อสร้างถนนคอนกรีตเสริมเหล็ก บ้านร่องห้า หมู่ที่ 4</t>
  </si>
  <si>
    <t>ค่าใช้จ่ายในการเสริมผิวถนนลาดยางแอสฟัลติกคอนกรีต บ้านป่าตอง  หมู่ที่ 7</t>
  </si>
  <si>
    <t>ค่าใช้จ่ายในการปรับปรุงผิวทางจราจรลูกรัง บ้านไร่ป่าคา หมู่ที่ 13</t>
  </si>
  <si>
    <t>ค่าใช้จ่ายในการปรับปรุงลานกีฬาประจำหมู่บ้านสันป่าขาม หมู่ที่ 11</t>
  </si>
  <si>
    <t>ค่าใช้จ่ายในการบำรุงรักษาซ่อมแซมระบบปะปาหมู่บ้านสันป่าเป้า หมู่ที่ 14</t>
  </si>
  <si>
    <t>จัดซื้อวัสดุการเกษตรต่างๆ</t>
  </si>
  <si>
    <t>ค่าใช้จ่ายในการส่งเสริมและอนุรักษ์ทรัพยากรธรรมชาติและสิ่งแวดล้อม</t>
  </si>
  <si>
    <t xml:space="preserve">(ลงชื่อ)                            ผู้เสนอแผน            (ลงชื่อ)                            ผู้เห็นชอบ                        </t>
  </si>
  <si>
    <t>ของกองการศึกษา  องค์การบริหารส่วนตำบลท่าตุ้ม</t>
  </si>
  <si>
    <t>จัดซื้อเครื่องคอมพิวเตอร์โน้ตบุ๊คสำหรับงานสำนักงาน</t>
  </si>
  <si>
    <t>ค่าใช้จ่ายในการบำรุงรักษาขุดลอกลำเหมือง บ้านท่าตุ้ม หมู่ที่ 1</t>
  </si>
  <si>
    <t>วัสดุเครื่องดับเพลิง</t>
  </si>
  <si>
    <t>ค่าใช้จ่ายในการบำรุงรักษาขุดลอกลำเหมือง  บ้านหนองบัว หมู่ที่ 2</t>
  </si>
  <si>
    <t>ตำแหน่ง ผู้อำนวยการกองการศึกษา</t>
  </si>
  <si>
    <t>แผนการจัดหาพัสดุ ประจำปีงบประมาณ พ.ศ.๒๕60 (เงินอุดหนุนเฉพาะกิจ)</t>
  </si>
  <si>
    <t>ก่อสร้างระบบประปาหมู่บ้าน แบบบาดาลขนาดใหญ่ บ้านท่าตุ้ม หมู่ที่ 1</t>
  </si>
  <si>
    <t>ก่อสร้างระบบประปาหมู่บ้าน แบบบาดาลขนาดใหญ่ บ้านหนองบัว หมู่ที่ 2</t>
  </si>
  <si>
    <t>ต.ค.59-มิ.ย.60</t>
  </si>
  <si>
    <t>(ลงชื่อ)                                          ผู้อนุมัติ</t>
  </si>
  <si>
    <t>แผนปฏิบัติการจัดซื้อจัดจ้าง ประจำปีงบประมาณ พ.ศ.2560</t>
  </si>
  <si>
    <t>ก่อสร้างระบบประปาหมู่บ้าน แบบบาดาลขนาดใหญ่ บ้านท่าตุ้ม หมุ่ที่ 1 จำนวน 1 แห่ง ในวงเงิน 2,788,000 บาท</t>
  </si>
  <si>
    <t>ก่อสร้างระบบประปาหมู่บ้าน แบบบาดาลขนาดใหญ่ บ้านหนองบัว หมุ่ที่ 2 จำนวน 1 แห่ง ในวงเงิน 2,788,000 บาท</t>
  </si>
  <si>
    <t>แบบรายงานผลการดำเนินงานตามแผนปฏิบัติการจัดซื้อจัดจ้างประจำปีงบประมาณ พ.ศ.๒๕60</t>
  </si>
  <si>
    <t xml:space="preserve">  ข้อมูล  ณ วันที่  ๓๑ มีนาคม ๒๕60</t>
  </si>
  <si>
    <t xml:space="preserve">  ข้อมูล  ณ วันที่  ๓๐ มิถุนายน ๒๕60</t>
  </si>
  <si>
    <t>( /  ) งวดที่ ๑ (ตุลาคม 2559 - มีนาคม 2560)</t>
  </si>
  <si>
    <t>( /  ) งวดที่ ๒ (เมษายน ๒๕60 - มิถุนายน ๒๕60)</t>
  </si>
  <si>
    <t>( /  ) งวดที่ ๓ (กรกฎาคม ๒๕60 - กันยายน ๒๕60)</t>
  </si>
  <si>
    <t>E 1/2560</t>
  </si>
  <si>
    <t>E 2/2560</t>
  </si>
  <si>
    <t>ปี 2560</t>
  </si>
  <si>
    <t>พย.59</t>
  </si>
  <si>
    <t>พค.60</t>
  </si>
  <si>
    <t>แบบรายงานแผนปฏิบัติการจัดซื้อจัดจ้าง  ปีงบประมาณ พ.ศ. ๒๕60</t>
  </si>
  <si>
    <t>แบบรายงานผลการปฏิบัติตามแผนปฏิบัติการจัดซื้อจัดจ้าง  ปีงบประมาณ  พ.ศ.๒๕60</t>
  </si>
  <si>
    <t>งวดที่ ๑ (ตุลาคม ๒๕๕9 - มีนาคม ๒๕60)</t>
  </si>
  <si>
    <t>งวดที่ ๒ (เมษายน 2560 - มิถุนายน 2560)</t>
  </si>
  <si>
    <t>แบบรายงานผลการปฏิบัติตามแผนปฏิบัติการจัดซื้อจัดจ้าง  ปีงบประมาณ  พ.ศ.2560</t>
  </si>
  <si>
    <t xml:space="preserve">          ตำแหน่ง เจ้าพนักงาน่รพัสดุปฏิบัติงาน                                      </t>
  </si>
  <si>
    <t>กย.59</t>
  </si>
  <si>
    <t>แบบรายงานผลการดำเนินงานตามแผนการจัดหาพัสดุ ประจำปีงบประมาณ พ.ศ.๒๕60</t>
  </si>
  <si>
    <t>ข้อมูล ณ วันที่ ๓๑ มีนาคม ๒๕60</t>
  </si>
  <si>
    <t>ก่อสร้างประปาหมู่บ้าน แบบบาดาลขนาดใหญ่ บ้านท่าตุ้ม หมู่ที่ 1</t>
  </si>
  <si>
    <t>ก่อสร้างประปาหมู่บ้าน แบบบาดาลขนาดใหญ่ บ้านหนองบัว หมู่ที่ 2</t>
  </si>
  <si>
    <t>ขุดลอกลำเหมืองสะปุ่ง ในเขต หมู่ที่ 12 เชื่อม หมู่ที่ 5</t>
  </si>
  <si>
    <t>ค่าใช้จ่ายเพื่อพัฒนาบุคลากรของ อบต.ท่าตุ้ม</t>
  </si>
  <si>
    <t>จัดซื้อเครื่องสำรองไฟฟ้า ขนาด 800 AV</t>
  </si>
  <si>
    <t>ค่าใช้จ่ายเพื่อการพัฒนารายได้ของ อบต.ท่าตุ้ม</t>
  </si>
  <si>
    <t>ค่าบำรุงรักษาและซ่อมแซมบำรุงรักษายานพาหนะ</t>
  </si>
  <si>
    <t>จัดซื้อเครื่องพิมพ์แบบฉีดหมึก (Inkjet Printer)</t>
  </si>
  <si>
    <t>จัดซื้ออุปกรณ์จัดเก็บ (Log File)</t>
  </si>
  <si>
    <t>ค่าใช้จ่ายในการส่งเสริม การป้องกันและแก้ไขปัญหายาเสพติด</t>
  </si>
  <si>
    <t>ค่าใช้จ่ายด้านการป้องกันและแก้ไขปัญหายาเสพติด</t>
  </si>
  <si>
    <t>ค่าติดตั้งกระจกโค้งจราจรบริเวณทางแยกอันตรายภายในตำบลท่าตุ้ม</t>
  </si>
  <si>
    <t xml:space="preserve">จัดซื้อเครื่องรับส่งวิทยุแบบ VHF/FM ชนิดมือถือ 5 วัตต์ </t>
  </si>
  <si>
    <t>จัดซื้อเครื่องรับส่งวิทยุแบบ VHF/FM ชนิดประจำที่ 40 วัตต์</t>
  </si>
  <si>
    <t>จัดซื้อเครื่องคอมพิวเตอร์โน้ตบุคสำหรับงานสำนักงาน</t>
  </si>
  <si>
    <t>อาหารเสริม (นม) ศพด.อบต.ท่าตุ้ม</t>
  </si>
  <si>
    <t>อาหารเสริม (นม) ร.ร.ในสังกัด สพฐ.</t>
  </si>
  <si>
    <t>จัดซื้อเตียงปฐมพยาบาล ศพด.อบต.ท่าตุ้ม</t>
  </si>
  <si>
    <t>ก่อสร้างหลังคาหน้า ศพด.อบต.ท่าตุ้ม</t>
  </si>
  <si>
    <t>ก่อสร้างอาคารเก็บเอกสารด้านหลัง ศพด.อบต.ท่าตุ้ม</t>
  </si>
  <si>
    <t>ค่าใช้จ่ายในการส่งเสริมสุขภาพการป้องกันโรคและควบคุมโรค ทั้งที่เป็นโรคติดต่อและไม่ติดต่อ</t>
  </si>
  <si>
    <t>ค่าใช้จ่ายในการบริหารจัดการเรื่องขยะชุมชน</t>
  </si>
  <si>
    <t>ค่าใช้จ่ายในการอบรมผู้ประกอบการด้านอาหารในตำบลท่าตุ้ม</t>
  </si>
  <si>
    <t>ค่าใช้จ่ายในการส่งเสริมและพัฒนาผู้สูงอายุในตำบลท่าตุ้ม</t>
  </si>
  <si>
    <t>ค่าใช้จ่ายในการส่งเสริมและพัฒนาผู้พิการในตำบลท่าตุ้ม</t>
  </si>
  <si>
    <t>การส่งเสริมและพัฒนาอาชีพในตำบลท่าตุ้ม</t>
  </si>
  <si>
    <t>ค่าใช้จ่ายในการส่งเสริมและพัฒนาสตรีตำบลท่าตุ้ม</t>
  </si>
  <si>
    <t>ค่าใช้จ่ายในการส่งเสริมและพัฒนาศักยภาพผู้นำองค์กรชุมชนตำบลท่าตุ้ม</t>
  </si>
  <si>
    <t>ค่าใช้จ่ายในการส่งเสริมและพัฒนาการกีฬา</t>
  </si>
  <si>
    <t>ค่าใช้จ่ายในการส่งเสริมเส้นทางการท่องเที่ยวในตำบลท่าตุ้ม</t>
  </si>
  <si>
    <t>จัดซื้อวัสดุก่อสร้างและวัสดุอื่น</t>
  </si>
  <si>
    <t>จัดซื้อวัสดุก่อสร้างบ้านท้องถิ่นไทย</t>
  </si>
  <si>
    <t xml:space="preserve">ค่าใช้จ่ายในการปรับปรุงอาคารอเนกประสงค์ โดยการติดตั้งฝ้าเพดาน ณ อาคารอเนกประสงค์ </t>
  </si>
  <si>
    <t>ค่าใช้จ่ายในการก่อสร้างลานกีฬา บ้านหนองหมู ม.6</t>
  </si>
  <si>
    <t>ค่าใช้จ่ายในการก่อสร้างลานกีฬา บ้านมงคลชัย ม.10</t>
  </si>
  <si>
    <t>ค่าใช้จ่ายในการขุดเจาะบ่อบาดาลเพื่อการเกษตร บ้านแม่อาวน้อย ม.9</t>
  </si>
  <si>
    <t>ค่าใช้จ่ายในการเสริมผิวถนนลาดยางแอสฟัลติกคอนกรีต บ้านป่าตอง หมู่ที่ 7</t>
  </si>
  <si>
    <t>ค่าใช้จ่ายในการปรับปรุงลานกีฬาประจำหมู่บ้านสันป่าขาม ม.11</t>
  </si>
  <si>
    <t>ค่าใช้จ่ายในการบำรุงรักษาซ่อมแซมระบบประปาหมู่บ้านสันป่าเป้า ม.14</t>
  </si>
  <si>
    <t>ค่าใช้จ่ายในการบำรุงรักษาขุดลอกลำเหมือง บ้านท่าตุ้ม ม.1</t>
  </si>
  <si>
    <t>ค่าใช้จ่ายในการบำรุงรักษาขุดลอกลำเหมือง บ้านหนองบัว ม.2</t>
  </si>
  <si>
    <t>ค่าใช้จ่ายในการส่งเสริมและอนุรักษ์ทรัพยากรธรรมชาติและสิ่งแวดล้อมในตำบลท่าตุ้ม</t>
  </si>
  <si>
    <t>ก่อสร้างถนนคอนกรีตเสริมเหล็ก บ้านท่าตุ้ม ม.1</t>
  </si>
  <si>
    <t>ก่อสร้างถนนคอนกรีตเสริมเหล็ก บ้านหนองบัว ม.2</t>
  </si>
  <si>
    <t>ก่อสร้างถนนคอนกรีตเสริมเหล็ก บ้านร่องช้าง ม.5</t>
  </si>
  <si>
    <t>กองการศึกษาฯ</t>
  </si>
  <si>
    <t>ค่าใช้จ่ายเพื่อการพัฒนาเด็กและเยาวชน</t>
  </si>
  <si>
    <t>ค่าใช้จ่ายในการซ่อมแซมถนนคอนกรีตโดยการเสริมผิวถนนลาดยางแอสฟัลส์ติกคอนกรีต อบต.ท่าตุ้ม</t>
  </si>
  <si>
    <t>ต.ค.59-พ.ย.59</t>
  </si>
  <si>
    <t>ค่าใช้จ่ายในการปรับปรุงผิวทางจราจรลูกรัง บ้านไร่ป่าคา ม.13</t>
  </si>
  <si>
    <t>ค่าใช้จ่ายเพื่อพัฒนา</t>
  </si>
  <si>
    <t>เครื่องถ่ายเอกสาร</t>
  </si>
  <si>
    <t>กล้องถ่ายภาพ</t>
  </si>
  <si>
    <t>จัดทำแผน</t>
  </si>
  <si>
    <t>รายจ่ายอื่นวิจัย</t>
  </si>
  <si>
    <t>เพื่อพัฒนารายได้</t>
  </si>
  <si>
    <t>อุปกรณ์จัดเก็บ</t>
  </si>
  <si>
    <t>อาสาสมัคร อสป</t>
  </si>
  <si>
    <t>ป้องกันและแก้ไขยาเสพติด</t>
  </si>
  <si>
    <t>ส่งเสริมและแก้ไขยาเสพติด</t>
  </si>
  <si>
    <t>กิจกรรมลูกเสือ</t>
  </si>
  <si>
    <t>ฝึกอบรมป้องกัน</t>
  </si>
  <si>
    <t>วัสดเครื่องดับเพลิง</t>
  </si>
  <si>
    <t>เครื่องพ่นยา</t>
  </si>
  <si>
    <t>เครื่องรับส่งวิทยุ</t>
  </si>
  <si>
    <t>เครื่องรับส่งประจำที่</t>
  </si>
  <si>
    <t>วัสดุโฆษณา</t>
  </si>
  <si>
    <t>เครื่องพิมพ์แบบ</t>
  </si>
  <si>
    <t>โน้ตบุ้ค</t>
  </si>
  <si>
    <t>เพื่อพัฒนาเด็ก</t>
  </si>
  <si>
    <t>วัสดงานบ้านงานครัว</t>
  </si>
  <si>
    <t>อาหารเสริมนม ศพด</t>
  </si>
  <si>
    <t>อาหารเสริมนม รร</t>
  </si>
  <si>
    <t>เตียงไม้</t>
  </si>
  <si>
    <t>ก่อสร้างหลังคาหน้า ศพด</t>
  </si>
  <si>
    <t>อาคารเก็บเอกสาร</t>
  </si>
  <si>
    <t>ป้องกันโรคและควบคุม</t>
  </si>
  <si>
    <t>ขยะชุมชน</t>
  </si>
  <si>
    <t>ผู้ประกอบอาหาร</t>
  </si>
  <si>
    <t>เครื่องพ่นหมอกควัน</t>
  </si>
  <si>
    <t>ผู้ด้อยโอกาส</t>
  </si>
  <si>
    <t>พัฒนาผู้สูงอายุ</t>
  </si>
  <si>
    <t>พัฒนาคนพิการ</t>
  </si>
  <si>
    <t>ส่งเสริมพัฒนาอาชีพ</t>
  </si>
  <si>
    <t>ส่งเสริมพัฒนาสตรี</t>
  </si>
  <si>
    <t>ส่งเสริมศักยภาพผู้นำ</t>
  </si>
  <si>
    <t>ส่งเสริมและพัฒนากีฬา</t>
  </si>
  <si>
    <t>ทำนุบำรุงพระพุทธศาสนา</t>
  </si>
  <si>
    <t>ภูมิปัญาท้องถิ่น</t>
  </si>
  <si>
    <t>การท่องเที่ยว</t>
  </si>
  <si>
    <t>วัสดุบ้านท้องถิ่นไทย</t>
  </si>
  <si>
    <t>ซ่อมแซมสิ่งก่อสร้าง</t>
  </si>
  <si>
    <t>ปรับปรุงภุมิทัศน์</t>
  </si>
  <si>
    <t>ปรับปรุงอาคารอเนกประสงค์</t>
  </si>
  <si>
    <t>ก่อสร้างลานกีฬาม6</t>
  </si>
  <si>
    <t>ก่อสร้างลานกีฬาม10</t>
  </si>
  <si>
    <t>ก่อสร้างถนนม2</t>
  </si>
  <si>
    <t>ก่อสร้างถนนม5</t>
  </si>
  <si>
    <t>ก่อสร้างถนนม8</t>
  </si>
  <si>
    <t>ก่อสร้างถนนม4</t>
  </si>
  <si>
    <t>เสริมผิวถนนม7</t>
  </si>
  <si>
    <t>เสริมผิวถนนม12</t>
  </si>
  <si>
    <t>ปรับปรุงผิวจราจรม13</t>
  </si>
  <si>
    <t>ปรับปรุงลานกีฬาม11</t>
  </si>
  <si>
    <t>ซ่อมแซมประปาม14</t>
  </si>
  <si>
    <t>ขุดลอกม1</t>
  </si>
  <si>
    <t>ขุดลอกม2</t>
  </si>
  <si>
    <t>อนุรักษ์ทรัพยากร</t>
  </si>
  <si>
    <t>หนังสือพิมพ์</t>
  </si>
  <si>
    <t>ปฏิทิน</t>
  </si>
  <si>
    <t>ซ่อมผิวลาดยางอบต.ท่าตุ้ม</t>
  </si>
  <si>
    <t>บำรุงรักษาและซ่อมแซมรถยนต์</t>
  </si>
  <si>
    <t>บำรุงรักษาและซ่อมแซมคอม</t>
  </si>
  <si>
    <t>ค่าใช้จ่ายในการบำรุงรักษาซ่อมแซมสิ่งก่อสร้างต่าง ๆ สำหรับซ่อมแซมถนนคอนกรีตเสริมเหล็ก สายทางบ้านป่าสีเสียด ม.8 เชื่อมบ้านท่าตุ้ม ม.1</t>
  </si>
  <si>
    <t xml:space="preserve">ค่าใช้จ่ายในการบำรุงรักษาซ่อมแซมสิ่งก่อสร้างต่าง ๆ ซ่อมแซมเสริมผิวถนนลาดยาง ม.4-3 </t>
  </si>
  <si>
    <t>เสริมผิวถนน ม3</t>
  </si>
  <si>
    <t>เมย60</t>
  </si>
  <si>
    <t>พค60</t>
  </si>
  <si>
    <t>มิย60</t>
  </si>
  <si>
    <t>กค60</t>
  </si>
  <si>
    <t>สค60</t>
  </si>
  <si>
    <t>กย60</t>
  </si>
  <si>
    <t>เจาะบ่อม9</t>
  </si>
  <si>
    <t>ข้อมูล ณ วันที่ 30 มิถุนายน ๒๕60</t>
  </si>
  <si>
    <t>ข้อมูล ณ วันที่ 29 กันยายน ๒๕60</t>
  </si>
  <si>
    <t xml:space="preserve">   ตำแหน่ง เจ้าพนักงานพัสดุปฏิบัติงาน         ตำแหน่ง ปลัด อบต. รักษาราชการแทน                 </t>
  </si>
  <si>
    <t xml:space="preserve">                                                                             ผู้อำนวยการกองคลัง</t>
  </si>
  <si>
    <t xml:space="preserve">           (นายวิชัย  สว่างโรจน์)                           (นางสาวเพ็ญมาลัย  อินกองงาม)                                </t>
  </si>
  <si>
    <t xml:space="preserve">                                                                             </t>
  </si>
  <si>
    <t xml:space="preserve">   ตำแหน่ง เจ้าพนักงานพัสดุปฏิบัติงาน                      ตำแหน่ง ผู้อำนวยการกองคลัง          </t>
  </si>
  <si>
    <t>ต.ค.59-พ.ค.60</t>
  </si>
  <si>
    <t>ประกวดราคาอิเล็กทรอนิกส์ e-Auction</t>
  </si>
  <si>
    <t>แผนการจัดซื้อจัดจ้าง  ประจำปีงบประมาณ พ.ศ.๒๕60 (เพิ่มเติมครั้งที่ ๑)</t>
  </si>
  <si>
    <t>ก่อสร้างระบบประปาหมู่บ้าน แบบบาดาลขนาดใหญ่ บ้านหนองบัว หมู่ที่ 2 จำนวน 1 แห่ง ในวงเงิน 2,788,000 บาท</t>
  </si>
  <si>
    <t>ก่อสร้างระบบประปาหมู่บ้าน แบบบาดาลขนาดใหญ่ บ้านท่าตุ้ม หมู่ที่ 1 จำนวน 1 แห่ง ในวงเงิน 2,788,000 บาท</t>
  </si>
  <si>
    <t>จัดซื้อเครื่องถ่ายเอกสารระบบดิจิตอล ในวงเงิน 130,000 บาท</t>
  </si>
  <si>
    <t xml:space="preserve">  ข้อมูล  ณ วันที่  29 กันยายน ๒๕60</t>
  </si>
  <si>
    <t>2/2560</t>
  </si>
  <si>
    <t xml:space="preserve">      (นางสาวเพ็ญมาลัย  อินกองงาม)     </t>
  </si>
  <si>
    <t xml:space="preserve">         ตำแหน่ง ผู้อำนวยการกองคลัง</t>
  </si>
  <si>
    <t xml:space="preserve">   ตำแหน่ง เจ้าพนักงานพัสดุปฏิบัติงาน                                      </t>
  </si>
  <si>
    <t xml:space="preserve">ซื้อเครื่องถ่ายเอกสารระบบดิจิตอล </t>
  </si>
  <si>
    <t>1 เครื่อง</t>
  </si>
  <si>
    <t>ครุภัณฑ์สำนักงาน</t>
  </si>
  <si>
    <t xml:space="preserve">          ตำแหน่ง เจ้าพนักงานพัสดุปฏิบัติงาน         ตำแหน่ง ผู้อำนวยการกองคลัง               </t>
  </si>
  <si>
    <t>ตค.59</t>
  </si>
  <si>
    <t>งวดที่ ๓ (กรกฎาคม 25609 - กันยายน 2560)</t>
  </si>
  <si>
    <t xml:space="preserve">        ผู้อำนวยการกองคลัง     </t>
  </si>
  <si>
    <t>ตำแหน่ง ปลัด อบต.ท่าตุ้ม รักษาราชการแทน</t>
  </si>
  <si>
    <t>แบบติดตามประเมินผลโครงการตามแผนพัฒนาสามปี (พ.ศ. 2560 - 2562)</t>
  </si>
  <si>
    <t>(เฉพาะโครงการที่ได้รับงบประมาณในปีงบประมาณ พ.ศ. 2560 รอบเดือนเมษายน 2560 - เดือนกันยายน 2560)</t>
  </si>
  <si>
    <t>กองคลัง องค์การบริหารส่วนตำบลท่าตุ้ม อำเภอป่าซาง จังหวัดลำพูน</t>
  </si>
  <si>
    <t>โครงการ/กิจกรรม</t>
  </si>
  <si>
    <t>งบประมาณที่ตั้งไว้</t>
  </si>
  <si>
    <t>งบประมาณที่เบิกจ่าย</t>
  </si>
  <si>
    <t>สถานที่ดำเนินการ</t>
  </si>
  <si>
    <t>หน่วยดำเนินการ</t>
  </si>
  <si>
    <t>ดำเนินการเสร็จแล้ว</t>
  </si>
  <si>
    <t>อยู่ระหว่างดำเนินการ</t>
  </si>
  <si>
    <t>ยังไม่ได้ดำเนินการ</t>
  </si>
  <si>
    <t>อบต.ท่าตุ้ม</t>
  </si>
  <si>
    <t>√</t>
  </si>
  <si>
    <t>รวม</t>
  </si>
  <si>
    <t>บำรุงรักษาและซ่อมแซมครุภัณฑ์ต่าง ๆ</t>
  </si>
  <si>
    <t>ค่าใช้จ่ายเพื่อการพัฒนารายได้ขององค์การบริหารส่วนตำบลท่าตุ้ม</t>
  </si>
  <si>
    <t>แผนการจัดหาพัสดุ  ประจำปีงบประมาณ พ.ศ.๒๕61</t>
  </si>
  <si>
    <t>ขององค์การบริหารส่วนตำบลโสกก่าม  อำเภอเซกา จังหวัดบึงกาฬ</t>
  </si>
  <si>
    <t>ต.ค60-ก.ย61</t>
  </si>
  <si>
    <t>การจัดหาตามห่วงเวลา ม.ค61-ก.ค61</t>
  </si>
  <si>
    <t>ค่าบำรุงรักษาซ่อมแซมครุภัณฑ์อบต</t>
  </si>
  <si>
    <t>ค่าซื้อวัสดุสำนักงาน</t>
  </si>
  <si>
    <t>ต.ค.60-ก.ย.61</t>
  </si>
  <si>
    <t>ค่าซื้อวัสดุงานบ้านงานครัว</t>
  </si>
  <si>
    <t>ค่าจัดซื้อวัสดุเชื้อเพลิงและหล่อลื่น</t>
  </si>
  <si>
    <t>ค่าจัดซื้อธงชาติธงตราสัญญาลักษณ์</t>
  </si>
  <si>
    <t>ค่าจัดป้ายประชาสัมพันธ์การเสียภาษี</t>
  </si>
  <si>
    <t>ค่าซื้อคอมพิวเตอร์ตั้งโต๊ะ</t>
  </si>
  <si>
    <t>ค่าซื้อปริ้นเตอร อิงเจท</t>
  </si>
  <si>
    <t>กองคัง</t>
  </si>
  <si>
    <t>กองคัลง</t>
  </si>
  <si>
    <t>ค่าเดินทางไปราชการ</t>
  </si>
  <si>
    <t>ค่าจ้างจัดทำป้ายประชาสัมพันธ์</t>
  </si>
  <si>
    <t>ค่าใช้จ่ายโครงการขยะรีไซรเคิ้ล</t>
  </si>
  <si>
    <t>ค่าใช้จ่ายช่วยช้างช่วยชาวบ้าน</t>
  </si>
  <si>
    <t>ค่าใช้จ่ายฝึกอบรมและศึกษาดูงาน</t>
  </si>
  <si>
    <t>ค่าใช้จ่ายเลือกตั้ง</t>
  </si>
  <si>
    <t>ค่าใช้จ่ายในการรับเสด็จ</t>
  </si>
  <si>
    <t>ค่าใช้จ่ายควบคุมไฟป่า</t>
  </si>
  <si>
    <t>ค่าซื้อวัสดุคอมพิวเตอร์</t>
  </si>
  <si>
    <t>ค่าซื้อเครื่องปริ้นเตอร์อิงเจท</t>
  </si>
  <si>
    <t>ครุภัณฑ์ไฟฟ้าและวิทยุ</t>
  </si>
  <si>
    <t>บริหารงานคลัง</t>
  </si>
  <si>
    <t>ค่าเช่าเครื่องถ่ายเอกสาร</t>
  </si>
  <si>
    <t>ค่าปรับปรุงระบบเครือข่ายเว็ป</t>
  </si>
  <si>
    <t>ค่าจ้างถ่ายเอกสาร</t>
  </si>
  <si>
    <t>ค่าลงทะเบียน</t>
  </si>
  <si>
    <t>ค่าจ้างเหมาจนท.ข้บันทึกข้อมูลภาษี</t>
  </si>
  <si>
    <t>ค่าจ้างจนท.แผนที่ภาษี</t>
  </si>
  <si>
    <t>ค่าจ้างทำป้าย</t>
  </si>
  <si>
    <t>ค่าจัดเก็บภาษีนอกสถานที่โครงการจัดเก็บภาษี</t>
  </si>
  <si>
    <t>ค่าซ่อมบำรุงและซ่อมแซม</t>
  </si>
  <si>
    <t>ค่าวัสดุคอมพิวเตอร์</t>
  </si>
  <si>
    <t>ค่าซื้อครุภัณฑ์ โต๊ะเก้าอี้,ตู้เก็บเอกาสาร</t>
  </si>
  <si>
    <t>ค่าใช้จ่ายรณรงค์ป้องกันและลดอุบัติเหตุช่วงเทศกาล</t>
  </si>
  <si>
    <t>ค่าใช้จ่ายฝึกอบรมอปพร.</t>
  </si>
  <si>
    <t>ค่าใช้จ่ายรณรงค์ต่อต้านยาเสพติด</t>
  </si>
  <si>
    <t>ค่าจ้างเหมาพนักงานทำความสะอาดศูนย์พัฒนาเด็กเล็ก5 คนละ7,000 บาท</t>
  </si>
  <si>
    <t>งานบริหารงานการศึกษา</t>
  </si>
  <si>
    <t>ค่าใช้จ่ายวันท้องถิ่น</t>
  </si>
  <si>
    <t>ค่าใช้จ่ายด้านวิชการด้านวิชาการ</t>
  </si>
  <si>
    <t>ค่าซ่อมแซมครุภัณฑ์</t>
  </si>
  <si>
    <t>ค่าซื้อัวสดุคอมพิวเตอร์</t>
  </si>
  <si>
    <t>ค่าซื้อวัสดุการศึกษา</t>
  </si>
  <si>
    <t>ค่าซื้อครุภัณฑ์อื่น(เครื่องเล่นพัฒนาการเด็กปฐมวัยให้กับศูนย์พัฒนาเด็กเล็ก</t>
  </si>
  <si>
    <t>เฉพาะเจาะจง</t>
  </si>
  <si>
    <t>ค่าใช้จ่ายการบริหารสถานศึกษาของศูนย์พัฒนาเด็กเล็ก5 ศูนย์</t>
  </si>
  <si>
    <t>คชจ.ในการจัดการเรียนการสอนเด็กรายหัว124 คนอัตราหัวละ 1700</t>
  </si>
  <si>
    <t>คชจ.จัดกิจกรรมแข่งกีฬาสีเด็ก</t>
  </si>
  <si>
    <t>คชจ.อบรมนิเทศผู้ปกครอง</t>
  </si>
  <si>
    <t>ค่าพาหนะนำส่งเด็กนักเรียนฯ</t>
  </si>
  <si>
    <t>ค่าจ้างเหมาทำอาหารศูนย์นาตาไก้ ม.2</t>
  </si>
  <si>
    <t>ค่าใช้จ่ายจัดกิจกรรมวันเด็กแห่งชาติ</t>
  </si>
  <si>
    <t>คชจ.โครงการแข่งขันทักษะด้านวิชการของศูนย์พัฒนาเด็กเล็ก</t>
  </si>
  <si>
    <t>คชจ.โครงการตรวจสุขภาพประจำปีของเด็กในศูนย์ฯ</t>
  </si>
  <si>
    <t>คชจ.โครงการจัดซื้อจัดจ้างเวชภัณฑ์ยาและยาฆ่าเชื้อโรคในศูนย์พัฒนาเด็กเล็ก</t>
  </si>
  <si>
    <t>ค่าปรับปรุงซ่อมแซมศูนย์พัฒนาเด็กเล็กในเขตตำบลโสกก่าม</t>
  </si>
  <si>
    <t>ค่าจัอซื้ออาหารเสริมนม 4โรงเรียน</t>
  </si>
  <si>
    <t>ค่าจัดซื้ออาหารเสริมนมให้ศูนย์พัฒนาเด็กเล็ก124คนคนละ8 บาท</t>
  </si>
  <si>
    <t>ค่าจัดซื้ออาหารเสริมนมให้ศูนยนาตาไก้ ม.2</t>
  </si>
  <si>
    <t>ปรับปรุงศูนย์พัฒนาเด็กเล็กบ้านยางเรียนม.3</t>
  </si>
  <si>
    <t>ปรับปรุงศูนย์พัฒนาเด็กเล็กบ้านโนนสำราญ ม.7</t>
  </si>
  <si>
    <t>แผนงานสาธารณสุข</t>
  </si>
  <si>
    <t>ค่าใช้จ่ายในการซื้อและป้องกันโรคติดต่อต่างๆในชุมชน</t>
  </si>
  <si>
    <t>ค่าจ้างเหมาผช.นักพัฒนาชุมชน</t>
  </si>
  <si>
    <t>กองสวัสดิการ</t>
  </si>
  <si>
    <t>งานสวัสดิการ</t>
  </si>
  <si>
    <t>ค่าใช้จ่ายเดินทางไปราชการ</t>
  </si>
  <si>
    <t>ค่าใช้จ่ายในวันผู้สูงอายุกตเวทิตาผู้สูงอายุในวันสูงอายุ</t>
  </si>
  <si>
    <t>คชจ.ในการส่งเสริมอาชีพเศรษฐกิจพอเพียง</t>
  </si>
  <si>
    <t>คชจ.ฝึกอบรมอาชีพสำหรับผู้พิการและผู้สูงอายุ</t>
  </si>
  <si>
    <t>คชจ.โครงการพัฒนาศักยภาพเด็กและเยาวชน</t>
  </si>
  <si>
    <t>คชจ.ในการป้องกันและแก้ไขปัญหายาเสพติดในเด็กเยาวชน</t>
  </si>
  <si>
    <t>คชจ.ในการอบรมดูแลผู้ป่วยจิตเวชที่วิกฤติทางจิตและพยามฆ่า</t>
  </si>
  <si>
    <t>คชจ.โครงการพัฒนาศักยภาพคุณภาพชีวิตผู้ป่วยผู้ด้อยโอกาส</t>
  </si>
  <si>
    <t>คชจ.โครงการป้องกันสถาบันของชาติ เพื่อให้เกิดความรักสมัครสมานสามัคคีและสร้างวัฒนธรรมการเมืองการปกครองในระบอบประชาธิปไตยอันมีพระมหากษัตรย์ทรงเป็นประมุข</t>
  </si>
  <si>
    <t>ศาสนาและวัฒนธรรมและนันทนาการ</t>
  </si>
  <si>
    <t>คชจ.โครงการประเพณีแข่งขันกีฬาตำบลโสกก่าม</t>
  </si>
  <si>
    <t>คชจ.ในการจัดการแข่งขันกีฬาฟุตซอล</t>
  </si>
  <si>
    <t>คชจ.ซื้ออุปกรณ์กีฬาประเภทต่างๆให้กับเยาวชน</t>
  </si>
  <si>
    <t>คชจ.ในการประเพณีแห่เทียนเข้าพรรษาตำบลโสกก่าม</t>
  </si>
  <si>
    <t>คชจ.ในการประเพณีบุญบั้งไฟตำบลโสกก่าม</t>
  </si>
  <si>
    <t>คชจ.ในการประเพณีแข่งเรือตำบลโสกก่าม</t>
  </si>
  <si>
    <t>คชจ.ในการประเพณีลอยกระทงตำบลโสกก่าม</t>
  </si>
  <si>
    <t>คชจ.ในการอบรมคุณธรรม จริยธรรม ให้กับเด็กและเยาวชนในเขตตำบลโสกก่าม</t>
  </si>
  <si>
    <t>ค่าจ้างเหมาบริการและค่าลงทะเบียนอบรม</t>
  </si>
  <si>
    <t>คชจ.ในการเดินทางไปราชการ</t>
  </si>
  <si>
    <t>ค่าซื้อวัสดุกิจการประปาต่างๆสารส้มคลอรีนปูนขาว</t>
  </si>
  <si>
    <t>ค่าซ่อมแซมครภัณฑ์ต่าง</t>
  </si>
  <si>
    <t>คาซื้อวัสดุสำนักงาน</t>
  </si>
  <si>
    <t>ค่าซื้อวัสดุก่อสร้าง</t>
  </si>
  <si>
    <t>ค่าจัดซื้อแบบทดสอบลูกปูน</t>
  </si>
  <si>
    <t>ค่าจัดซื้อวัสดุอุปกรณ์ด้านเครื่องมือ</t>
  </si>
  <si>
    <t>ค่าซื้อวัสดุทางการเกษตร</t>
  </si>
  <si>
    <t>ค่าซื้ออุปกรณ์ไฟฟ้า</t>
  </si>
  <si>
    <t xml:space="preserve">ค่าซื้อปริ้นเตอร์สีอิงเจสเอ4 </t>
  </si>
  <si>
    <t>ค่าจัดซื้อเครื่องปริ้นเตอร์กระดาษต่อเนื่องใช้ในงานแผนที่ภาษี</t>
  </si>
  <si>
    <t>ค่าครุภัณฑ์ไฟฟ้าเครื่องสูบน้ำชนิดดต่างๆ</t>
  </si>
  <si>
    <t>โครงการก่อสร้งถนนคอนกรีตเสริมเหล็กภายในหมู่บ้านโสกก่ามม.1</t>
  </si>
  <si>
    <t>โครงการก่อสร้งถนนคอนกรีตเสริมเหล็กภายในหมู่บ้านยางเรียนม.3</t>
  </si>
  <si>
    <t>โครงการก่อสร้งถนนคอนกรีตเสริมเหล็กภายในหมู่บ้านหนองปะต่างม.4</t>
  </si>
  <si>
    <t>โครงการก่อสร้งถนนคอนกรีตเสริมเหล็กภายในหมู่บ้านบ่อพนาม.5</t>
  </si>
  <si>
    <t>โครงการก่อสร้งถนนคอนกรีตเสริมเหล็กภายในหมู่บ้านดงสว่างม.6</t>
  </si>
  <si>
    <t>โครงการก่อสร้งถนนคอนกรีตเสริมเหล็กภายในหมู่บ้านโนนสำราญม.7</t>
  </si>
  <si>
    <t>โครงการก่อสร้งถนนคอนกรีตเสริมเหล็กภายในหมู่บ้านหนองปลาดุกม.8</t>
  </si>
  <si>
    <t>โครงการติดตั้งไฟฟ้าส่องสว่างพลังงานแสงอาทิตย์ภายในหมู่บ้านถ้ำพระ ม.9</t>
  </si>
  <si>
    <t>โครงการก่อสร้งถนนคอนกรีตเสริมเหล็กภายในหมู่บ้านโนนสำราญใต้ม.10</t>
  </si>
  <si>
    <t>โครงการก่อสร้งถนนคอนกรีตเสริมเหล็กภายในหมู่บ้านเจริญสุข ม.12</t>
  </si>
  <si>
    <t>โครงการก่อสร้งถนนคอนกรีตเสริมเหล็กภายในหมู่บ้านนาตาไก้ม.2</t>
  </si>
  <si>
    <t>โครงการปรับปรุงถนนลูกรังเพื่อการเกษตรบ้านโสกก่ามม.1(สายโสกก่ามหน้าบ้านอ.จรูญ-ห้วยหนิง)</t>
  </si>
  <si>
    <t>โครงการปรับปรุงถนนลูกรังเพื่อการเกษตรบ้านโสกก่ามม.1(สายวัดตราดแก้ว-นานายชม)</t>
  </si>
  <si>
    <t>โครงการปรับปรุงถนนลูกรังเพื่อการเกษตรบ้านนาตาไก้ม.2(สายนาตาไก้-โคกพะเนียง)</t>
  </si>
  <si>
    <t>โครงการปรับปรุงถนนลูกรังเพื่อการเกษตรบ้านนาตาไก้ม.2(สายนาตาไก้-คำตานา)</t>
  </si>
  <si>
    <t>โครงการปรับปรุงถนนลูกรังเพื่อการเกษตรบ้านนาตาไก้ม.2(สายนาตาไก้-คำผักกูด)</t>
  </si>
  <si>
    <t>โครงการปรับปรุงถนนลูกรังเพื่อการเกษตรบ้านนาตาไก้ม.2(สายนาตาไก้-นาขาม)</t>
  </si>
  <si>
    <t>โครงการปรับปรุงถนนลูกรังเพื่อการเกษตรบ้านนาตาไก้ม.2(สายนาตาไก้-คำชมพู)</t>
  </si>
  <si>
    <t>โครงการปรับปรุงถนนลูกรังเพื่อการเกษตรบ้านนาตาไก้ม.2(สายนาตาไก้-คำชมพู-นานายพิทักษ์)</t>
  </si>
  <si>
    <t>โครงการปรับปรุงถนนลูกรังเพื่อการเกษตรบ้านยางเรียนม.3(สายสวนยางนายชม-เขตอนุรักษ์ )</t>
  </si>
  <si>
    <t>โครงการปรับปรุงถนนลูกรังเพื่อการเกษตรบ้านยางเรียนม.3(สายสวนยางจรูญศรี-นานายจาน )</t>
  </si>
  <si>
    <t>โครงการปรับปรุงถนนลูกรังเพื่อการเกษตรบ้านยางเรียนม.3(สายสวนยางเรียน-ดานอฮวน )</t>
  </si>
  <si>
    <t>โครงการปรับปรุงถนนลูกรังเพื่อการเกษตรบ้านบ่อพนา ม.5 (สายบ่อพนา-โนนงาม) )</t>
  </si>
  <si>
    <t>โครงการปรับปรุงถนนลูกรังเพื่อการเกษตรบ้านบ่อพนา ม.5 (สายบ่อพนา-โนนสวนปอ) )</t>
  </si>
  <si>
    <t>โครงการปรับปรุงถนนลูกรังเพื่อการเกษตรบ้านบ่อพนา ม.5 (สายบ่อพนา-ฝายน้ำล้น 2 )</t>
  </si>
  <si>
    <t>โครงการปรับปรุงถนนลูกรังเพื่อการเกษตรบ้านบ่อพนา ม.5 (สายบ่อพนา-ท่าไร่ )</t>
  </si>
  <si>
    <t>โครงการปรับปรุงถนนลูกรังภายในหมู่บ้านบ่อพนา ม.5</t>
  </si>
  <si>
    <t>โครงการปรับปรุงถนนลูกรังเพื่อการเกษตรบ้านดงสว่างม.6 (สายดงสว่าง-ยางเรียน-สวนยางจรูญศรี )</t>
  </si>
  <si>
    <t>โครงการปรับปรุงถนนลูกรังเพื่อการเกษตรบ้านดงสว่างม.6 (สายดงสว่าง-ห้วยบักย้อย-ทางหลวงชนบท)</t>
  </si>
  <si>
    <t>โครงการปรับปรุงถนนลูกรังเพื่อการเกษตรบ้านดงสว่างม.6 (สายดงสว่าง-ห้วยบักย้อย-ทางหลวง-บ่อพนา-หนองแสง)</t>
  </si>
  <si>
    <t>โครงการปรับปรุงถนนลูกรังเพื่อการเกษตรบ้านดงสว่างม.6 (สายดงสว่าง-ข้างโรงสีข้าวชุมชน)</t>
  </si>
  <si>
    <t>โครงการปรับปรุงถนนลูกรังเพื่อการเกษตรสายโนนสำราญม.7 -ดานม่วง)</t>
  </si>
  <si>
    <t>โครงการปรับปรุงถนนลูกรังเพื่อการเกษตรสายโนนสำราญ-ดานละคร-ดานสูง</t>
  </si>
  <si>
    <t>โครงการปรับปรุงถนนลูกรังเพื่อการเกษตรสายโนนสำราญม.7-ดานอฮวน)</t>
  </si>
  <si>
    <t>โครงการปรับปรุงถนนลูกรังเพื่อการเกษตรสายโนนสำราญม.7 สายโนนสำราญข้างวัด-ดานอฮวน)</t>
  </si>
  <si>
    <t>โครงการปรับปรุงถนนลูกรังเพื่อการเกษตรสายโนนสำราญม7 -คำชมพู)</t>
  </si>
  <si>
    <t>โครงการปรับปรุงถนนลูกรังเพื่อการเกษตรสายหนองปลาดุกม.8( สายหนองปลาดุก-คำชมพู -คำชมพู)</t>
  </si>
  <si>
    <t>โครงการปรับปรุงถนนลูกรังเพื่อการเกษตรสายหนองปลาดุกม.8( สายนาตาไก้-หนองปลาดุก )</t>
  </si>
  <si>
    <t>โครงการปรับปรุงถนนลูกรังเพื่อการเกษตรสายบ้านถ้ำพระม.9( สายถ้ำพระ-ห้วยบังบาตร )</t>
  </si>
  <si>
    <t>โครงการปรับปรุงถนนลูกรังเพื่อการเกษตรสายบ้านโนนสำราญม.10( สายโนนสำราญใต้-นาตาไก้-คำชมพู )</t>
  </si>
  <si>
    <t>โครงการปรับปรุงถนนลูกรังเพื่อการเกษตรสายบ้านโนนสำราญม.10( สายโนนสำราญใต้-คำชมพู )</t>
  </si>
  <si>
    <t>โครงการก่อสร้างท่อลอดเหลี่ยมคอนกรีตม.2</t>
  </si>
  <si>
    <t>คชจ.จัดงานอนุรักษ์และฟื้นฟูพื้นที่ชุ่มน้ำโลกบึงโขงหลง</t>
  </si>
  <si>
    <t>คชจ.รักน้ำรักป่ารักแผ่นดิน</t>
  </si>
  <si>
    <t>คชจ.อนุรักษ์ดินและน้ำ</t>
  </si>
  <si>
    <t>แผนงานการเกษตร</t>
  </si>
  <si>
    <t xml:space="preserve">       (นางเสาวลักษณ์  ประจักษ์โก)                           (นางชลิตา  ปัญญารส)                                </t>
  </si>
  <si>
    <t xml:space="preserve">      (นายคำพันธ์  ศรีจันทร์))     </t>
  </si>
  <si>
    <t>(นายคูณ  อุ่นคำ )</t>
  </si>
  <si>
    <t>(ลงชื่อ)                   ผู้อนุมัติ</t>
  </si>
  <si>
    <t>พ.ย60</t>
  </si>
  <si>
    <t>ตลอดทั้งปี</t>
  </si>
  <si>
    <t>มี.ค61</t>
  </si>
  <si>
    <t>ก.พ61</t>
  </si>
  <si>
    <t>พ.ค61</t>
  </si>
  <si>
    <t>มีค61</t>
  </si>
  <si>
    <t>เม.ย61</t>
  </si>
  <si>
    <t>กอการงศึกษา</t>
  </si>
  <si>
    <t xml:space="preserve">                                                                       ผู้อำนวยการกองคลัง                          ปลัดองค์การบริหารส่วนตำบลโสกก่าม</t>
  </si>
  <si>
    <t xml:space="preserve">                        เจ้าหน้าที่พัสดุ                      นักวิชาการเงินและบัญชีชำนาญการ รักษาการแทน    รองปลัดองค์การบริหารส่วนตำบล รักษาการแทน     นายกองค์การบริหารส่วนตำบลโสกก่าม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</si>
</sst>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87" formatCode="_-* #,##0_-;\-* #,##0_-;_-* &quot;-&quot;??_-;_-@_-"/>
    <numFmt numFmtId="188" formatCode="[$-D01041E]d\ mmmm\ yyyy;@"/>
    <numFmt numFmtId="189" formatCode="_-* #,##0.0000_-;\-* #,##0.0000_-;_-* &quot;-&quot;??_-;_-@_-"/>
    <numFmt numFmtId="190" formatCode="[$-D07041E]d\ mmmm\ yyyy;@"/>
    <numFmt numFmtId="191" formatCode="t#,##0.\-"/>
    <numFmt numFmtId="192" formatCode="[$-D01041E]d\ mmm\ yy;@"/>
    <numFmt numFmtId="193" formatCode="t0.000"/>
    <numFmt numFmtId="194" formatCode="#,##0.00_ ;\-#,##0.00\ "/>
  </numFmts>
  <fonts count="34">
    <font>
      <sz val="10"/>
      <name val="Arial"/>
      <charset val="222"/>
    </font>
    <font>
      <sz val="10"/>
      <name val="Arial"/>
      <family val="2"/>
    </font>
    <font>
      <sz val="16"/>
      <name val="TH SarabunPSK"/>
      <family val="2"/>
    </font>
    <font>
      <sz val="8"/>
      <name val="Arial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2"/>
      <name val="TH SarabunIT๙"/>
      <family val="2"/>
    </font>
    <font>
      <b/>
      <u/>
      <sz val="14"/>
      <name val="TH SarabunIT๙"/>
      <family val="2"/>
    </font>
    <font>
      <sz val="10"/>
      <name val="TH SarabunIT๙"/>
      <family val="2"/>
    </font>
    <font>
      <sz val="14"/>
      <color indexed="10"/>
      <name val="TH SarabunIT๙"/>
      <family val="2"/>
    </font>
    <font>
      <sz val="14"/>
      <color indexed="9"/>
      <name val="TH SarabunIT๙"/>
      <family val="2"/>
    </font>
    <font>
      <b/>
      <sz val="12"/>
      <name val="TH SarabunIT๙"/>
      <family val="2"/>
    </font>
    <font>
      <sz val="12"/>
      <color indexed="10"/>
      <name val="TH SarabunIT๙"/>
      <family val="2"/>
    </font>
    <font>
      <sz val="12"/>
      <color indexed="9"/>
      <name val="TH SarabunIT๙"/>
      <family val="2"/>
    </font>
    <font>
      <sz val="11"/>
      <name val="TH SarabunIT๙"/>
      <family val="2"/>
    </font>
    <font>
      <b/>
      <sz val="10"/>
      <name val="TH SarabunIT๙"/>
      <family val="2"/>
    </font>
    <font>
      <b/>
      <sz val="12"/>
      <color indexed="10"/>
      <name val="TH SarabunIT๙"/>
      <family val="2"/>
    </font>
    <font>
      <b/>
      <sz val="12"/>
      <color indexed="9"/>
      <name val="TH SarabunIT๙"/>
      <family val="2"/>
    </font>
    <font>
      <b/>
      <sz val="8"/>
      <name val="TH SarabunIT๙"/>
      <family val="2"/>
    </font>
    <font>
      <b/>
      <sz val="11"/>
      <name val="TH SarabunIT๙"/>
      <family val="2"/>
    </font>
    <font>
      <b/>
      <sz val="15"/>
      <name val="TH SarabunIT๙"/>
      <family val="2"/>
    </font>
    <font>
      <sz val="12"/>
      <color indexed="20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3"/>
      <name val="TH SarabunIT๙"/>
      <family val="2"/>
    </font>
    <font>
      <b/>
      <sz val="12"/>
      <name val="TH SarabunPSK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sz val="12"/>
      <name val="TH SarabunPSK"/>
      <family val="2"/>
    </font>
    <font>
      <sz val="12"/>
      <name val="Calibri"/>
      <family val="2"/>
    </font>
    <font>
      <sz val="11"/>
      <color theme="0"/>
      <name val="Tahoma"/>
      <family val="2"/>
      <charset val="222"/>
      <scheme val="minor"/>
    </font>
    <font>
      <sz val="16"/>
      <color rgb="FFFF0000"/>
      <name val="TH SarabunPSK"/>
      <family val="2"/>
    </font>
    <font>
      <b/>
      <sz val="14"/>
      <color indexed="10"/>
      <name val="TH SarabunIT๙"/>
      <family val="2"/>
    </font>
    <font>
      <b/>
      <sz val="14"/>
      <color indexed="9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0" fillId="2" borderId="0" applyNumberFormat="0" applyBorder="0" applyAlignment="0" applyProtection="0"/>
    <xf numFmtId="43" fontId="1" fillId="0" borderId="0" applyFont="0" applyFill="0" applyBorder="0" applyAlignment="0" applyProtection="0"/>
  </cellStyleXfs>
  <cellXfs count="396">
    <xf numFmtId="0" fontId="0" fillId="0" borderId="0" xfId="0"/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0" fontId="4" fillId="0" borderId="0" xfId="0" applyFont="1" applyAlignment="1">
      <alignment vertical="center" wrapText="1"/>
    </xf>
    <xf numFmtId="62" fontId="4" fillId="0" borderId="0" xfId="2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62" fontId="4" fillId="0" borderId="4" xfId="2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62" fontId="4" fillId="0" borderId="4" xfId="2" applyNumberFormat="1" applyFont="1" applyBorder="1" applyAlignment="1">
      <alignment vertical="center" wrapText="1"/>
    </xf>
    <xf numFmtId="59" fontId="4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62" fontId="4" fillId="0" borderId="2" xfId="2" applyNumberFormat="1" applyFont="1" applyBorder="1" applyAlignment="1">
      <alignment vertical="center" wrapText="1"/>
    </xf>
    <xf numFmtId="62" fontId="4" fillId="0" borderId="2" xfId="2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59" fontId="4" fillId="0" borderId="1" xfId="0" applyNumberFormat="1" applyFont="1" applyBorder="1" applyAlignment="1">
      <alignment horizontal="center" vertical="center" wrapText="1"/>
    </xf>
    <xf numFmtId="62" fontId="4" fillId="0" borderId="0" xfId="2" applyNumberFormat="1" applyFont="1" applyAlignment="1">
      <alignment vertical="center" wrapText="1"/>
    </xf>
    <xf numFmtId="5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62" fontId="4" fillId="0" borderId="0" xfId="2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62" fontId="4" fillId="0" borderId="3" xfId="2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62" fontId="5" fillId="0" borderId="3" xfId="2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Border="1"/>
    <xf numFmtId="0" fontId="9" fillId="0" borderId="0" xfId="0" applyFont="1" applyBorder="1"/>
    <xf numFmtId="187" fontId="4" fillId="0" borderId="0" xfId="2" applyNumberFormat="1" applyFont="1" applyBorder="1"/>
    <xf numFmtId="0" fontId="10" fillId="0" borderId="0" xfId="0" applyFont="1" applyBorder="1"/>
    <xf numFmtId="0" fontId="4" fillId="0" borderId="0" xfId="0" applyFont="1"/>
    <xf numFmtId="0" fontId="6" fillId="0" borderId="0" xfId="0" applyFont="1" applyBorder="1" applyAlignment="1">
      <alignment horizontal="center"/>
    </xf>
    <xf numFmtId="0" fontId="11" fillId="0" borderId="0" xfId="0" applyFont="1"/>
    <xf numFmtId="187" fontId="6" fillId="0" borderId="0" xfId="2" applyNumberFormat="1" applyFont="1" applyBorder="1" applyAlignment="1">
      <alignment horizontal="left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6" fillId="0" borderId="0" xfId="0" applyFont="1" applyBorder="1"/>
    <xf numFmtId="0" fontId="11" fillId="0" borderId="0" xfId="0" applyFont="1" applyBorder="1" applyAlignment="1">
      <alignment horizontal="center"/>
    </xf>
    <xf numFmtId="0" fontId="12" fillId="0" borderId="0" xfId="0" applyFont="1" applyBorder="1"/>
    <xf numFmtId="187" fontId="6" fillId="0" borderId="0" xfId="2" applyNumberFormat="1" applyFont="1" applyBorder="1"/>
    <xf numFmtId="0" fontId="13" fillId="0" borderId="0" xfId="0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59" fontId="4" fillId="0" borderId="5" xfId="0" applyNumberFormat="1" applyFont="1" applyBorder="1" applyAlignment="1">
      <alignment horizontal="center" vertical="center" wrapText="1"/>
    </xf>
    <xf numFmtId="59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62" fontId="4" fillId="0" borderId="0" xfId="2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62" fontId="5" fillId="0" borderId="0" xfId="2" applyNumberFormat="1" applyFont="1" applyAlignment="1">
      <alignment vertical="center" wrapText="1"/>
    </xf>
    <xf numFmtId="59" fontId="5" fillId="0" borderId="3" xfId="0" applyNumberFormat="1" applyFont="1" applyBorder="1" applyAlignment="1">
      <alignment horizontal="center" vertical="center" wrapText="1"/>
    </xf>
    <xf numFmtId="59" fontId="5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5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59" fontId="4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88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62" fontId="4" fillId="0" borderId="0" xfId="2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62" fontId="4" fillId="0" borderId="3" xfId="2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191" fontId="4" fillId="0" borderId="3" xfId="0" applyNumberFormat="1" applyFont="1" applyBorder="1" applyAlignment="1">
      <alignment horizontal="center" vertical="center" wrapText="1"/>
    </xf>
    <xf numFmtId="59" fontId="4" fillId="0" borderId="0" xfId="0" applyNumberFormat="1" applyFont="1" applyAlignment="1">
      <alignment horizontal="center" vertical="center" wrapText="1"/>
    </xf>
    <xf numFmtId="191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5" fillId="0" borderId="11" xfId="0" applyFont="1" applyBorder="1" applyAlignment="1">
      <alignment horizontal="center"/>
    </xf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11" xfId="0" applyFont="1" applyBorder="1"/>
    <xf numFmtId="49" fontId="4" fillId="0" borderId="5" xfId="0" applyNumberFormat="1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59" fontId="4" fillId="0" borderId="12" xfId="0" applyNumberFormat="1" applyFont="1" applyBorder="1" applyAlignment="1">
      <alignment horizontal="center" vertical="center"/>
    </xf>
    <xf numFmtId="59" fontId="4" fillId="0" borderId="1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90" fontId="4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/>
    <xf numFmtId="0" fontId="4" fillId="0" borderId="13" xfId="0" applyFont="1" applyBorder="1"/>
    <xf numFmtId="0" fontId="4" fillId="0" borderId="6" xfId="0" applyFont="1" applyBorder="1" applyAlignment="1">
      <alignment horizontal="center"/>
    </xf>
    <xf numFmtId="0" fontId="4" fillId="0" borderId="14" xfId="0" applyFont="1" applyBorder="1"/>
    <xf numFmtId="0" fontId="4" fillId="0" borderId="12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187" fontId="11" fillId="0" borderId="0" xfId="2" applyNumberFormat="1" applyFont="1" applyBorder="1" applyAlignment="1">
      <alignment horizontal="left"/>
    </xf>
    <xf numFmtId="0" fontId="16" fillId="0" borderId="0" xfId="0" applyFont="1" applyBorder="1"/>
    <xf numFmtId="187" fontId="11" fillId="0" borderId="0" xfId="2" applyNumberFormat="1" applyFont="1" applyBorder="1"/>
    <xf numFmtId="0" fontId="17" fillId="0" borderId="0" xfId="0" applyFont="1" applyBorder="1"/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1" fillId="0" borderId="1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9" fontId="11" fillId="0" borderId="5" xfId="0" applyNumberFormat="1" applyFont="1" applyBorder="1" applyAlignment="1">
      <alignment horizontal="center" vertical="center" wrapText="1"/>
    </xf>
    <xf numFmtId="190" fontId="15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190" fontId="15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62" fontId="19" fillId="0" borderId="6" xfId="0" applyNumberFormat="1" applyFont="1" applyBorder="1" applyAlignment="1">
      <alignment horizontal="right" vertical="center" wrapText="1"/>
    </xf>
    <xf numFmtId="190" fontId="19" fillId="0" borderId="6" xfId="0" applyNumberFormat="1" applyFont="1" applyBorder="1" applyAlignment="1">
      <alignment horizontal="center" vertical="center" wrapText="1"/>
    </xf>
    <xf numFmtId="62" fontId="15" fillId="0" borderId="6" xfId="0" applyNumberFormat="1" applyFont="1" applyBorder="1" applyAlignment="1">
      <alignment horizontal="right" vertical="center" wrapText="1"/>
    </xf>
    <xf numFmtId="0" fontId="6" fillId="0" borderId="12" xfId="0" applyFont="1" applyBorder="1"/>
    <xf numFmtId="0" fontId="6" fillId="0" borderId="6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49" fontId="6" fillId="0" borderId="5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8" fillId="0" borderId="0" xfId="0" applyFont="1" applyBorder="1"/>
    <xf numFmtId="0" fontId="14" fillId="0" borderId="7" xfId="0" applyFont="1" applyBorder="1" applyAlignment="1">
      <alignment horizontal="center" shrinkToFit="1"/>
    </xf>
    <xf numFmtId="0" fontId="6" fillId="0" borderId="7" xfId="0" applyFont="1" applyBorder="1" applyAlignment="1">
      <alignment horizontal="center" shrinkToFit="1"/>
    </xf>
    <xf numFmtId="0" fontId="14" fillId="0" borderId="7" xfId="0" applyFont="1" applyFill="1" applyBorder="1" applyAlignment="1">
      <alignment horizontal="center" shrinkToFit="1"/>
    </xf>
    <xf numFmtId="0" fontId="14" fillId="0" borderId="10" xfId="0" applyFont="1" applyBorder="1" applyAlignment="1">
      <alignment horizontal="center" shrinkToFit="1"/>
    </xf>
    <xf numFmtId="0" fontId="14" fillId="0" borderId="11" xfId="0" applyFont="1" applyBorder="1" applyAlignment="1">
      <alignment horizontal="center" shrinkToFi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62" fontId="6" fillId="0" borderId="6" xfId="0" applyNumberFormat="1" applyFont="1" applyBorder="1" applyAlignment="1">
      <alignment horizontal="center" vertical="center" wrapText="1"/>
    </xf>
    <xf numFmtId="187" fontId="6" fillId="0" borderId="0" xfId="2" applyNumberFormat="1" applyFont="1" applyBorder="1" applyAlignment="1">
      <alignment shrinkToFit="1"/>
    </xf>
    <xf numFmtId="187" fontId="4" fillId="0" borderId="0" xfId="2" applyNumberFormat="1" applyFont="1" applyBorder="1" applyAlignment="1">
      <alignment horizontal="left"/>
    </xf>
    <xf numFmtId="0" fontId="11" fillId="0" borderId="0" xfId="0" applyFont="1" applyBorder="1" applyAlignment="1"/>
    <xf numFmtId="187" fontId="6" fillId="0" borderId="0" xfId="2" applyNumberFormat="1" applyFont="1" applyAlignment="1">
      <alignment shrinkToFit="1"/>
    </xf>
    <xf numFmtId="0" fontId="22" fillId="0" borderId="0" xfId="0" applyFont="1"/>
    <xf numFmtId="0" fontId="22" fillId="0" borderId="0" xfId="0" applyFont="1" applyAlignment="1"/>
    <xf numFmtId="0" fontId="23" fillId="0" borderId="0" xfId="0" applyFont="1"/>
    <xf numFmtId="187" fontId="24" fillId="0" borderId="0" xfId="2" applyNumberFormat="1" applyFont="1" applyBorder="1"/>
    <xf numFmtId="0" fontId="6" fillId="0" borderId="0" xfId="0" applyFont="1" applyBorder="1" applyAlignment="1"/>
    <xf numFmtId="187" fontId="4" fillId="0" borderId="0" xfId="2" applyNumberFormat="1" applyFont="1" applyAlignment="1"/>
    <xf numFmtId="0" fontId="4" fillId="0" borderId="0" xfId="0" applyFont="1" applyAlignment="1"/>
    <xf numFmtId="0" fontId="4" fillId="0" borderId="0" xfId="0" applyFont="1" applyAlignment="1">
      <alignment shrinkToFit="1"/>
    </xf>
    <xf numFmtId="0" fontId="8" fillId="0" borderId="0" xfId="0" applyFont="1"/>
    <xf numFmtId="187" fontId="14" fillId="0" borderId="0" xfId="2" applyNumberFormat="1" applyFont="1"/>
    <xf numFmtId="187" fontId="24" fillId="0" borderId="0" xfId="2" applyNumberFormat="1" applyFont="1"/>
    <xf numFmtId="0" fontId="20" fillId="0" borderId="0" xfId="0" applyFont="1" applyBorder="1" applyAlignment="1"/>
    <xf numFmtId="0" fontId="23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192" fontId="4" fillId="0" borderId="6" xfId="0" applyNumberFormat="1" applyFont="1" applyBorder="1" applyAlignment="1">
      <alignment horizontal="center" vertical="center" wrapText="1"/>
    </xf>
    <xf numFmtId="193" fontId="4" fillId="0" borderId="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49" fontId="6" fillId="0" borderId="9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190" fontId="4" fillId="0" borderId="0" xfId="0" applyNumberFormat="1" applyFont="1"/>
    <xf numFmtId="190" fontId="5" fillId="0" borderId="22" xfId="0" applyNumberFormat="1" applyFont="1" applyBorder="1" applyAlignment="1">
      <alignment horizontal="center"/>
    </xf>
    <xf numFmtId="190" fontId="5" fillId="0" borderId="10" xfId="0" applyNumberFormat="1" applyFont="1" applyBorder="1" applyAlignment="1">
      <alignment horizontal="center"/>
    </xf>
    <xf numFmtId="190" fontId="5" fillId="0" borderId="4" xfId="0" applyNumberFormat="1" applyFont="1" applyBorder="1" applyAlignment="1">
      <alignment horizontal="center"/>
    </xf>
    <xf numFmtId="190" fontId="5" fillId="0" borderId="11" xfId="0" applyNumberFormat="1" applyFont="1" applyBorder="1" applyAlignment="1">
      <alignment horizontal="center"/>
    </xf>
    <xf numFmtId="190" fontId="4" fillId="0" borderId="0" xfId="0" applyNumberFormat="1" applyFont="1" applyBorder="1"/>
    <xf numFmtId="190" fontId="4" fillId="0" borderId="13" xfId="0" applyNumberFormat="1" applyFont="1" applyBorder="1" applyAlignment="1">
      <alignment horizontal="center"/>
    </xf>
    <xf numFmtId="190" fontId="4" fillId="0" borderId="6" xfId="0" applyNumberFormat="1" applyFont="1" applyBorder="1" applyAlignment="1">
      <alignment horizontal="center"/>
    </xf>
    <xf numFmtId="190" fontId="4" fillId="0" borderId="13" xfId="0" applyNumberFormat="1" applyFont="1" applyBorder="1"/>
    <xf numFmtId="190" fontId="4" fillId="0" borderId="6" xfId="0" applyNumberFormat="1" applyFont="1" applyBorder="1"/>
    <xf numFmtId="190" fontId="4" fillId="0" borderId="17" xfId="0" applyNumberFormat="1" applyFont="1" applyBorder="1"/>
    <xf numFmtId="190" fontId="4" fillId="0" borderId="16" xfId="0" applyNumberFormat="1" applyFont="1" applyBorder="1"/>
    <xf numFmtId="190" fontId="11" fillId="0" borderId="0" xfId="0" applyNumberFormat="1" applyFont="1" applyBorder="1"/>
    <xf numFmtId="190" fontId="11" fillId="0" borderId="0" xfId="0" applyNumberFormat="1" applyFont="1" applyBorder="1" applyAlignment="1">
      <alignment horizontal="left"/>
    </xf>
    <xf numFmtId="190" fontId="11" fillId="0" borderId="0" xfId="0" applyNumberFormat="1" applyFont="1"/>
    <xf numFmtId="190" fontId="6" fillId="0" borderId="0" xfId="0" applyNumberFormat="1" applyFont="1"/>
    <xf numFmtId="190" fontId="6" fillId="0" borderId="0" xfId="0" applyNumberFormat="1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 wrapText="1"/>
    </xf>
    <xf numFmtId="190" fontId="15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90" fontId="11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187" fontId="6" fillId="0" borderId="0" xfId="2" applyNumberFormat="1" applyFont="1" applyBorder="1" applyAlignment="1">
      <alignment vertical="center" wrapText="1"/>
    </xf>
    <xf numFmtId="59" fontId="6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62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 shrinkToFit="1"/>
    </xf>
    <xf numFmtId="0" fontId="21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/>
    </xf>
    <xf numFmtId="0" fontId="6" fillId="0" borderId="3" xfId="0" applyFont="1" applyBorder="1" applyAlignment="1"/>
    <xf numFmtId="0" fontId="6" fillId="0" borderId="3" xfId="0" applyFont="1" applyBorder="1" applyAlignment="1">
      <alignment horizontal="center"/>
    </xf>
    <xf numFmtId="0" fontId="8" fillId="0" borderId="3" xfId="0" applyFont="1" applyBorder="1"/>
    <xf numFmtId="0" fontId="11" fillId="0" borderId="3" xfId="0" applyFont="1" applyBorder="1" applyAlignment="1"/>
    <xf numFmtId="17" fontId="6" fillId="0" borderId="3" xfId="0" applyNumberFormat="1" applyFont="1" applyBorder="1" applyAlignment="1">
      <alignment horizontal="center"/>
    </xf>
    <xf numFmtId="189" fontId="6" fillId="0" borderId="3" xfId="2" applyNumberFormat="1" applyFont="1" applyBorder="1" applyAlignment="1">
      <alignment shrinkToFit="1"/>
    </xf>
    <xf numFmtId="2" fontId="6" fillId="0" borderId="3" xfId="0" applyNumberFormat="1" applyFont="1" applyBorder="1"/>
    <xf numFmtId="0" fontId="6" fillId="0" borderId="3" xfId="0" applyFont="1" applyBorder="1" applyAlignment="1">
      <alignment horizontal="center" shrinkToFit="1"/>
    </xf>
    <xf numFmtId="187" fontId="6" fillId="0" borderId="3" xfId="2" applyNumberFormat="1" applyFont="1" applyBorder="1" applyAlignment="1">
      <alignment shrinkToFit="1"/>
    </xf>
    <xf numFmtId="187" fontId="4" fillId="0" borderId="3" xfId="2" applyNumberFormat="1" applyFont="1" applyBorder="1" applyAlignment="1">
      <alignment horizontal="left"/>
    </xf>
    <xf numFmtId="0" fontId="11" fillId="0" borderId="3" xfId="0" applyFont="1" applyBorder="1"/>
    <xf numFmtId="0" fontId="12" fillId="0" borderId="3" xfId="0" applyFont="1" applyBorder="1"/>
    <xf numFmtId="0" fontId="6" fillId="0" borderId="3" xfId="0" applyFont="1" applyBorder="1" applyAlignment="1">
      <alignment horizontal="right" vertical="center" wrapText="1"/>
    </xf>
    <xf numFmtId="192" fontId="4" fillId="0" borderId="3" xfId="0" applyNumberFormat="1" applyFont="1" applyBorder="1" applyAlignment="1">
      <alignment horizontal="center" vertical="center" wrapText="1"/>
    </xf>
    <xf numFmtId="193" fontId="4" fillId="0" borderId="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90" fontId="4" fillId="0" borderId="22" xfId="0" applyNumberFormat="1" applyFont="1" applyBorder="1" applyAlignment="1">
      <alignment horizontal="center" vertical="center" wrapText="1"/>
    </xf>
    <xf numFmtId="19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90" fontId="4" fillId="0" borderId="2" xfId="0" applyNumberFormat="1" applyFont="1" applyBorder="1" applyAlignment="1">
      <alignment horizontal="center" vertical="center" wrapText="1"/>
    </xf>
    <xf numFmtId="190" fontId="4" fillId="0" borderId="3" xfId="0" applyNumberFormat="1" applyFont="1" applyBorder="1" applyAlignment="1">
      <alignment horizontal="center" vertical="center" wrapText="1"/>
    </xf>
    <xf numFmtId="17" fontId="25" fillId="0" borderId="11" xfId="2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/>
    </xf>
    <xf numFmtId="4" fontId="2" fillId="0" borderId="7" xfId="0" applyNumberFormat="1" applyFont="1" applyBorder="1"/>
    <xf numFmtId="4" fontId="2" fillId="0" borderId="11" xfId="0" applyNumberFormat="1" applyFont="1" applyBorder="1"/>
    <xf numFmtId="4" fontId="2" fillId="0" borderId="0" xfId="0" applyNumberFormat="1" applyFont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4" fontId="27" fillId="0" borderId="0" xfId="0" applyNumberFormat="1" applyFont="1" applyAlignment="1">
      <alignment vertical="center" wrapText="1"/>
    </xf>
    <xf numFmtId="4" fontId="26" fillId="0" borderId="0" xfId="0" applyNumberFormat="1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62" fontId="4" fillId="0" borderId="2" xfId="2" applyNumberFormat="1" applyFont="1" applyBorder="1" applyAlignment="1">
      <alignment horizontal="center" vertical="center" wrapText="1"/>
    </xf>
    <xf numFmtId="59" fontId="4" fillId="0" borderId="21" xfId="0" applyNumberFormat="1" applyFont="1" applyBorder="1" applyAlignment="1">
      <alignment horizontal="center" vertical="center" wrapText="1"/>
    </xf>
    <xf numFmtId="43" fontId="4" fillId="0" borderId="4" xfId="2" applyFont="1" applyBorder="1" applyAlignment="1">
      <alignment vertical="center" wrapText="1"/>
    </xf>
    <xf numFmtId="59" fontId="4" fillId="0" borderId="8" xfId="0" applyNumberFormat="1" applyFont="1" applyBorder="1" applyAlignment="1">
      <alignment horizontal="center" vertical="center" wrapText="1"/>
    </xf>
    <xf numFmtId="62" fontId="4" fillId="0" borderId="0" xfId="2" applyNumberFormat="1" applyFont="1" applyAlignment="1">
      <alignment horizontal="right" vertical="center"/>
    </xf>
    <xf numFmtId="62" fontId="4" fillId="0" borderId="0" xfId="2" applyNumberFormat="1" applyFont="1" applyAlignment="1">
      <alignment vertical="center"/>
    </xf>
    <xf numFmtId="59" fontId="4" fillId="0" borderId="19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62" fontId="4" fillId="0" borderId="22" xfId="2" applyNumberFormat="1" applyFont="1" applyBorder="1" applyAlignment="1">
      <alignment vertical="center" wrapText="1"/>
    </xf>
    <xf numFmtId="59" fontId="4" fillId="0" borderId="2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59" fontId="4" fillId="0" borderId="4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59" fontId="4" fillId="0" borderId="20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43" fontId="4" fillId="0" borderId="3" xfId="2" applyFont="1" applyBorder="1" applyAlignment="1">
      <alignment vertical="center" wrapText="1"/>
    </xf>
    <xf numFmtId="187" fontId="5" fillId="0" borderId="0" xfId="2" applyNumberFormat="1" applyFont="1" applyAlignment="1">
      <alignment vertical="center" wrapText="1"/>
    </xf>
    <xf numFmtId="0" fontId="5" fillId="0" borderId="0" xfId="0" applyFont="1" applyAlignment="1"/>
    <xf numFmtId="190" fontId="4" fillId="0" borderId="3" xfId="0" applyNumberFormat="1" applyFont="1" applyBorder="1" applyAlignment="1">
      <alignment vertical="center" wrapText="1"/>
    </xf>
    <xf numFmtId="4" fontId="2" fillId="0" borderId="3" xfId="2" applyNumberFormat="1" applyFont="1" applyBorder="1" applyAlignment="1">
      <alignment horizontal="center" vertical="center"/>
    </xf>
    <xf numFmtId="4" fontId="31" fillId="0" borderId="7" xfId="0" applyNumberFormat="1" applyFont="1" applyBorder="1"/>
    <xf numFmtId="188" fontId="4" fillId="0" borderId="0" xfId="0" applyNumberFormat="1" applyFont="1" applyAlignment="1">
      <alignment vertical="center" wrapText="1"/>
    </xf>
    <xf numFmtId="188" fontId="5" fillId="0" borderId="0" xfId="0" applyNumberFormat="1" applyFont="1" applyAlignment="1">
      <alignment vertical="center" wrapText="1"/>
    </xf>
    <xf numFmtId="62" fontId="4" fillId="0" borderId="3" xfId="0" applyNumberFormat="1" applyFont="1" applyBorder="1" applyAlignment="1">
      <alignment horizontal="center" vertical="center" wrapText="1"/>
    </xf>
    <xf numFmtId="188" fontId="4" fillId="0" borderId="0" xfId="0" quotePrefix="1" applyNumberFormat="1" applyFont="1" applyBorder="1" applyAlignment="1">
      <alignment horizontal="center" vertical="center" wrapText="1"/>
    </xf>
    <xf numFmtId="188" fontId="4" fillId="0" borderId="0" xfId="0" quotePrefix="1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62" fontId="4" fillId="0" borderId="3" xfId="1" applyNumberFormat="1" applyFont="1" applyFill="1" applyBorder="1" applyAlignment="1">
      <alignment vertical="center" wrapText="1"/>
    </xf>
    <xf numFmtId="62" fontId="6" fillId="0" borderId="3" xfId="2" applyNumberFormat="1" applyFont="1" applyBorder="1" applyAlignment="1">
      <alignment vertical="center" wrapText="1"/>
    </xf>
    <xf numFmtId="4" fontId="15" fillId="0" borderId="3" xfId="0" applyNumberFormat="1" applyFont="1" applyBorder="1" applyAlignment="1">
      <alignment horizontal="right" vertical="center" wrapText="1"/>
    </xf>
    <xf numFmtId="4" fontId="11" fillId="0" borderId="3" xfId="0" applyNumberFormat="1" applyFont="1" applyBorder="1" applyAlignment="1">
      <alignment vertical="center" wrapText="1"/>
    </xf>
    <xf numFmtId="4" fontId="19" fillId="0" borderId="3" xfId="0" applyNumberFormat="1" applyFont="1" applyBorder="1" applyAlignment="1">
      <alignment horizontal="right" vertical="center" wrapText="1"/>
    </xf>
    <xf numFmtId="194" fontId="6" fillId="0" borderId="3" xfId="2" applyNumberFormat="1" applyFont="1" applyBorder="1" applyAlignment="1">
      <alignment horizontal="center" vertical="center" wrapText="1" shrinkToFit="1"/>
    </xf>
    <xf numFmtId="4" fontId="2" fillId="0" borderId="0" xfId="0" applyNumberFormat="1" applyFont="1" applyAlignment="1">
      <alignment horizontal="center" vertical="center" wrapText="1"/>
    </xf>
    <xf numFmtId="4" fontId="28" fillId="0" borderId="3" xfId="0" applyNumberFormat="1" applyFont="1" applyBorder="1" applyAlignment="1">
      <alignment horizontal="center" vertical="center" wrapText="1"/>
    </xf>
    <xf numFmtId="0" fontId="28" fillId="0" borderId="3" xfId="0" applyNumberFormat="1" applyFont="1" applyBorder="1" applyAlignment="1">
      <alignment horizontal="center"/>
    </xf>
    <xf numFmtId="4" fontId="28" fillId="0" borderId="3" xfId="0" applyNumberFormat="1" applyFont="1" applyBorder="1" applyAlignment="1">
      <alignment vertical="center" wrapText="1"/>
    </xf>
    <xf numFmtId="4" fontId="28" fillId="0" borderId="3" xfId="0" applyNumberFormat="1" applyFont="1" applyBorder="1" applyAlignment="1">
      <alignment horizontal="right"/>
    </xf>
    <xf numFmtId="4" fontId="28" fillId="0" borderId="3" xfId="0" applyNumberFormat="1" applyFont="1" applyBorder="1"/>
    <xf numFmtId="4" fontId="28" fillId="0" borderId="3" xfId="0" applyNumberFormat="1" applyFont="1" applyBorder="1" applyAlignment="1">
      <alignment horizontal="center"/>
    </xf>
    <xf numFmtId="4" fontId="29" fillId="0" borderId="3" xfId="0" applyNumberFormat="1" applyFont="1" applyBorder="1" applyAlignment="1">
      <alignment horizontal="center"/>
    </xf>
    <xf numFmtId="4" fontId="25" fillId="0" borderId="3" xfId="0" applyNumberFormat="1" applyFont="1" applyBorder="1" applyAlignment="1">
      <alignment horizontal="right"/>
    </xf>
    <xf numFmtId="4" fontId="25" fillId="0" borderId="3" xfId="0" applyNumberFormat="1" applyFont="1" applyBorder="1"/>
    <xf numFmtId="0" fontId="25" fillId="0" borderId="3" xfId="0" applyNumberFormat="1" applyFont="1" applyBorder="1" applyAlignment="1">
      <alignment horizontal="center"/>
    </xf>
    <xf numFmtId="4" fontId="28" fillId="0" borderId="0" xfId="0" applyNumberFormat="1" applyFont="1"/>
    <xf numFmtId="4" fontId="28" fillId="0" borderId="0" xfId="0" applyNumberFormat="1" applyFont="1" applyAlignment="1">
      <alignment vertical="center" wrapText="1"/>
    </xf>
    <xf numFmtId="4" fontId="25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187" fontId="5" fillId="0" borderId="0" xfId="2" applyNumberFormat="1" applyFont="1" applyBorder="1" applyAlignment="1">
      <alignment horizontal="left"/>
    </xf>
    <xf numFmtId="0" fontId="32" fillId="0" borderId="0" xfId="0" applyFont="1" applyBorder="1"/>
    <xf numFmtId="187" fontId="5" fillId="0" borderId="0" xfId="2" applyNumberFormat="1" applyFont="1" applyBorder="1"/>
    <xf numFmtId="0" fontId="33" fillId="0" borderId="0" xfId="0" applyFont="1" applyBorder="1"/>
    <xf numFmtId="17" fontId="6" fillId="0" borderId="3" xfId="0" applyNumberFormat="1" applyFont="1" applyBorder="1" applyAlignment="1">
      <alignment horizontal="center" vertical="center" wrapText="1"/>
    </xf>
    <xf numFmtId="43" fontId="4" fillId="0" borderId="2" xfId="2" applyFont="1" applyBorder="1" applyAlignment="1">
      <alignment vertical="center" wrapText="1"/>
    </xf>
    <xf numFmtId="43" fontId="4" fillId="0" borderId="3" xfId="2" applyFont="1" applyBorder="1" applyAlignment="1">
      <alignment horizontal="right" vertical="center" wrapText="1"/>
    </xf>
    <xf numFmtId="43" fontId="4" fillId="0" borderId="3" xfId="2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87" fontId="5" fillId="0" borderId="0" xfId="2" applyNumberFormat="1" applyFont="1" applyAlignment="1">
      <alignment horizontal="center" vertical="center" wrapText="1"/>
    </xf>
    <xf numFmtId="187" fontId="5" fillId="0" borderId="1" xfId="2" applyNumberFormat="1" applyFont="1" applyBorder="1" applyAlignment="1">
      <alignment horizontal="center" vertical="center" wrapText="1"/>
    </xf>
    <xf numFmtId="187" fontId="5" fillId="0" borderId="8" xfId="2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87" fontId="5" fillId="0" borderId="4" xfId="2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62" fontId="5" fillId="0" borderId="10" xfId="2" applyNumberFormat="1" applyFont="1" applyBorder="1" applyAlignment="1">
      <alignment horizontal="center" vertical="center" wrapText="1"/>
    </xf>
    <xf numFmtId="62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188" fontId="5" fillId="0" borderId="10" xfId="0" applyNumberFormat="1" applyFont="1" applyBorder="1" applyAlignment="1">
      <alignment horizontal="center" vertical="center" wrapText="1"/>
    </xf>
    <xf numFmtId="188" fontId="4" fillId="0" borderId="11" xfId="0" applyNumberFormat="1" applyFont="1" applyBorder="1" applyAlignment="1">
      <alignment horizontal="center" vertical="center" wrapText="1"/>
    </xf>
    <xf numFmtId="4" fontId="28" fillId="0" borderId="3" xfId="0" applyNumberFormat="1" applyFont="1" applyBorder="1" applyAlignment="1">
      <alignment horizontal="center" vertical="center" wrapText="1"/>
    </xf>
    <xf numFmtId="4" fontId="28" fillId="0" borderId="1" xfId="0" applyNumberFormat="1" applyFont="1" applyBorder="1" applyAlignment="1">
      <alignment horizontal="center" vertical="center" wrapText="1"/>
    </xf>
    <xf numFmtId="4" fontId="28" fillId="0" borderId="8" xfId="0" applyNumberFormat="1" applyFont="1" applyBorder="1" applyAlignment="1">
      <alignment horizontal="center" vertical="center" wrapText="1"/>
    </xf>
    <xf numFmtId="4" fontId="25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90" fontId="5" fillId="0" borderId="10" xfId="0" applyNumberFormat="1" applyFont="1" applyBorder="1" applyAlignment="1">
      <alignment horizontal="center" vertical="center"/>
    </xf>
    <xf numFmtId="190" fontId="5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9" xfId="0" applyFont="1" applyBorder="1" applyAlignment="1">
      <alignment horizontal="center" shrinkToFit="1"/>
    </xf>
    <xf numFmtId="0" fontId="6" fillId="0" borderId="23" xfId="0" applyFont="1" applyBorder="1" applyAlignment="1">
      <alignment horizontal="center" shrinkToFit="1"/>
    </xf>
    <xf numFmtId="0" fontId="20" fillId="0" borderId="0" xfId="0" applyFont="1" applyAlignment="1">
      <alignment horizontal="center"/>
    </xf>
    <xf numFmtId="0" fontId="20" fillId="0" borderId="4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shrinkToFit="1"/>
    </xf>
    <xf numFmtId="0" fontId="14" fillId="0" borderId="25" xfId="0" applyFont="1" applyBorder="1" applyAlignment="1">
      <alignment horizontal="center" shrinkToFit="1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shrinkToFit="1"/>
    </xf>
    <xf numFmtId="0" fontId="14" fillId="0" borderId="24" xfId="0" applyFont="1" applyBorder="1" applyAlignment="1">
      <alignment horizontal="center" shrinkToFit="1"/>
    </xf>
    <xf numFmtId="0" fontId="6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0" xfId="0" applyFont="1" applyBorder="1" applyAlignment="1">
      <alignment horizontal="center" shrinkToFit="1"/>
    </xf>
    <xf numFmtId="0" fontId="6" fillId="0" borderId="25" xfId="0" applyFont="1" applyBorder="1" applyAlignment="1">
      <alignment horizontal="center" shrinkToFi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3">
    <cellStyle name="60% - ส่วนที่ถูกเน้น5" xfId="1" builtinId="48"/>
    <cellStyle name="เครื่องหมายจุลภาค" xfId="2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838200</xdr:colOff>
      <xdr:row>0</xdr:row>
      <xdr:rowOff>0</xdr:rowOff>
    </xdr:from>
    <xdr:to>
      <xdr:col>2</xdr:col>
      <xdr:colOff>838200</xdr:colOff>
      <xdr:row>2</xdr:row>
      <xdr:rowOff>161925</xdr:rowOff>
    </xdr:to>
    <xdr:pic>
      <xdr:nvPicPr>
        <xdr:cNvPr id="2325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8350" y="0"/>
          <a:ext cx="0" cy="647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838200</xdr:colOff>
      <xdr:row>0</xdr:row>
      <xdr:rowOff>0</xdr:rowOff>
    </xdr:from>
    <xdr:to>
      <xdr:col>2</xdr:col>
      <xdr:colOff>838200</xdr:colOff>
      <xdr:row>2</xdr:row>
      <xdr:rowOff>152400</xdr:rowOff>
    </xdr:to>
    <xdr:pic>
      <xdr:nvPicPr>
        <xdr:cNvPr id="232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8350" y="0"/>
          <a:ext cx="0" cy="638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838200</xdr:colOff>
      <xdr:row>0</xdr:row>
      <xdr:rowOff>0</xdr:rowOff>
    </xdr:from>
    <xdr:to>
      <xdr:col>2</xdr:col>
      <xdr:colOff>838200</xdr:colOff>
      <xdr:row>2</xdr:row>
      <xdr:rowOff>152400</xdr:rowOff>
    </xdr:to>
    <xdr:pic>
      <xdr:nvPicPr>
        <xdr:cNvPr id="2459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8350" y="0"/>
          <a:ext cx="0" cy="638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view="pageBreakPreview" topLeftCell="A28" zoomScaleNormal="125" zoomScaleSheetLayoutView="100" workbookViewId="0">
      <selection activeCell="C36" sqref="C36"/>
    </sheetView>
  </sheetViews>
  <sheetFormatPr defaultRowHeight="18.75"/>
  <cols>
    <col min="1" max="1" width="5.28515625" style="3" customWidth="1"/>
    <col min="2" max="2" width="13.7109375" style="3" customWidth="1"/>
    <col min="3" max="3" width="30.7109375" style="3" customWidth="1"/>
    <col min="4" max="4" width="26.140625" style="3" customWidth="1"/>
    <col min="5" max="5" width="13.7109375" style="4" bestFit="1" customWidth="1"/>
    <col min="6" max="6" width="7.7109375" style="3" customWidth="1"/>
    <col min="7" max="7" width="10.140625" style="3" customWidth="1"/>
    <col min="8" max="8" width="8.5703125" style="3" customWidth="1"/>
    <col min="9" max="9" width="8" style="3" customWidth="1"/>
    <col min="10" max="10" width="14.85546875" style="3" customWidth="1"/>
    <col min="11" max="16384" width="9.140625" style="3"/>
  </cols>
  <sheetData>
    <row r="1" spans="1:10">
      <c r="J1" s="5" t="s">
        <v>162</v>
      </c>
    </row>
    <row r="2" spans="1:10">
      <c r="A2" s="315" t="s">
        <v>423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0">
      <c r="A3" s="316" t="s">
        <v>94</v>
      </c>
      <c r="B3" s="316"/>
      <c r="C3" s="316"/>
      <c r="D3" s="316"/>
      <c r="E3" s="316"/>
      <c r="F3" s="316"/>
      <c r="G3" s="316"/>
      <c r="H3" s="316"/>
      <c r="I3" s="316"/>
      <c r="J3" s="316"/>
    </row>
    <row r="4" spans="1:10" ht="19.5" customHeight="1">
      <c r="A4" s="313" t="s">
        <v>116</v>
      </c>
      <c r="B4" s="313" t="s">
        <v>160</v>
      </c>
      <c r="C4" s="313" t="s">
        <v>84</v>
      </c>
      <c r="D4" s="317" t="s">
        <v>85</v>
      </c>
      <c r="E4" s="318"/>
      <c r="F4" s="317" t="s">
        <v>88</v>
      </c>
      <c r="G4" s="319"/>
      <c r="H4" s="313" t="s">
        <v>90</v>
      </c>
      <c r="I4" s="313" t="s">
        <v>163</v>
      </c>
      <c r="J4" s="313" t="s">
        <v>91</v>
      </c>
    </row>
    <row r="5" spans="1:10" ht="37.5">
      <c r="A5" s="314"/>
      <c r="B5" s="314"/>
      <c r="C5" s="314"/>
      <c r="D5" s="8" t="s">
        <v>86</v>
      </c>
      <c r="E5" s="9" t="s">
        <v>87</v>
      </c>
      <c r="F5" s="8" t="s">
        <v>89</v>
      </c>
      <c r="G5" s="10" t="s">
        <v>87</v>
      </c>
      <c r="H5" s="314"/>
      <c r="I5" s="314"/>
      <c r="J5" s="314"/>
    </row>
    <row r="6" spans="1:10">
      <c r="A6" s="6"/>
      <c r="B6" s="7"/>
      <c r="C6" s="21" t="s">
        <v>352</v>
      </c>
      <c r="D6" s="7"/>
      <c r="E6" s="249"/>
      <c r="F6" s="7"/>
      <c r="G6" s="7"/>
      <c r="H6" s="7"/>
      <c r="I6" s="7"/>
      <c r="J6" s="14"/>
    </row>
    <row r="7" spans="1:10" ht="56.25">
      <c r="A7" s="250">
        <v>1</v>
      </c>
      <c r="B7" s="8" t="s">
        <v>425</v>
      </c>
      <c r="C7" s="11" t="s">
        <v>227</v>
      </c>
      <c r="D7" s="8" t="s">
        <v>353</v>
      </c>
      <c r="E7" s="251">
        <v>200000</v>
      </c>
      <c r="F7" s="8"/>
      <c r="G7" s="7"/>
      <c r="H7" s="8" t="s">
        <v>93</v>
      </c>
      <c r="I7" s="13" t="s">
        <v>424</v>
      </c>
      <c r="J7" s="14" t="s">
        <v>77</v>
      </c>
    </row>
    <row r="8" spans="1:10" ht="56.25">
      <c r="A8" s="250">
        <v>2</v>
      </c>
      <c r="B8" s="8" t="s">
        <v>425</v>
      </c>
      <c r="C8" s="11" t="s">
        <v>82</v>
      </c>
      <c r="D8" s="8" t="s">
        <v>353</v>
      </c>
      <c r="E8" s="12">
        <v>500000</v>
      </c>
      <c r="F8" s="8"/>
      <c r="G8" s="7"/>
      <c r="H8" s="8" t="s">
        <v>93</v>
      </c>
      <c r="I8" s="13" t="s">
        <v>424</v>
      </c>
      <c r="J8" s="14"/>
    </row>
    <row r="9" spans="1:10" ht="56.25">
      <c r="A9" s="250">
        <v>3</v>
      </c>
      <c r="B9" s="8" t="s">
        <v>432</v>
      </c>
      <c r="C9" s="11" t="s">
        <v>426</v>
      </c>
      <c r="D9" s="8" t="s">
        <v>353</v>
      </c>
      <c r="E9" s="29">
        <v>100000</v>
      </c>
      <c r="F9" s="8"/>
      <c r="G9" s="8"/>
      <c r="H9" s="8" t="s">
        <v>93</v>
      </c>
      <c r="I9" s="74" t="s">
        <v>424</v>
      </c>
      <c r="J9" s="14"/>
    </row>
    <row r="10" spans="1:10" ht="56.25">
      <c r="A10" s="250">
        <v>4</v>
      </c>
      <c r="B10" s="15" t="s">
        <v>425</v>
      </c>
      <c r="C10" s="16" t="s">
        <v>358</v>
      </c>
      <c r="D10" s="8" t="s">
        <v>359</v>
      </c>
      <c r="E10" s="17">
        <v>50000</v>
      </c>
      <c r="F10" s="8"/>
      <c r="G10" s="7"/>
      <c r="H10" s="8" t="s">
        <v>93</v>
      </c>
      <c r="I10" s="13" t="s">
        <v>424</v>
      </c>
      <c r="J10" s="14"/>
    </row>
    <row r="11" spans="1:10" ht="93.75">
      <c r="A11" s="250">
        <v>5</v>
      </c>
      <c r="B11" s="8" t="s">
        <v>425</v>
      </c>
      <c r="C11" s="16" t="s">
        <v>360</v>
      </c>
      <c r="D11" s="8" t="s">
        <v>359</v>
      </c>
      <c r="E11" s="17">
        <v>20000</v>
      </c>
      <c r="F11" s="8"/>
      <c r="G11" s="7"/>
      <c r="H11" s="8" t="s">
        <v>93</v>
      </c>
      <c r="I11" s="74" t="s">
        <v>424</v>
      </c>
      <c r="J11" s="14"/>
    </row>
    <row r="12" spans="1:10" ht="56.25">
      <c r="A12" s="250">
        <v>6</v>
      </c>
      <c r="B12" s="15" t="s">
        <v>425</v>
      </c>
      <c r="C12" s="16" t="s">
        <v>337</v>
      </c>
      <c r="D12" s="8" t="s">
        <v>363</v>
      </c>
      <c r="E12" s="17">
        <v>10000</v>
      </c>
      <c r="F12" s="8"/>
      <c r="G12" s="7"/>
      <c r="H12" s="8" t="s">
        <v>93</v>
      </c>
      <c r="I12" s="74" t="s">
        <v>424</v>
      </c>
      <c r="J12" s="14"/>
    </row>
    <row r="13" spans="1:10" ht="56.25">
      <c r="A13" s="250">
        <v>7</v>
      </c>
      <c r="B13" s="15" t="s">
        <v>425</v>
      </c>
      <c r="C13" s="16" t="s">
        <v>439</v>
      </c>
      <c r="D13" s="8" t="s">
        <v>363</v>
      </c>
      <c r="E13" s="17">
        <v>35000</v>
      </c>
      <c r="F13" s="8"/>
      <c r="G13" s="7"/>
      <c r="H13" s="8" t="s">
        <v>93</v>
      </c>
      <c r="I13" s="74" t="s">
        <v>424</v>
      </c>
      <c r="J13" s="14"/>
    </row>
    <row r="14" spans="1:10" ht="56.25">
      <c r="A14" s="250">
        <v>8</v>
      </c>
      <c r="B14" s="15" t="s">
        <v>425</v>
      </c>
      <c r="C14" s="16" t="s">
        <v>440</v>
      </c>
      <c r="D14" s="8" t="s">
        <v>363</v>
      </c>
      <c r="E14" s="17">
        <v>50000</v>
      </c>
      <c r="F14" s="8"/>
      <c r="G14" s="7"/>
      <c r="H14" s="8" t="s">
        <v>93</v>
      </c>
      <c r="I14" s="74" t="s">
        <v>424</v>
      </c>
      <c r="J14" s="14"/>
    </row>
    <row r="15" spans="1:10" ht="56.25">
      <c r="A15" s="250">
        <v>9</v>
      </c>
      <c r="B15" s="15" t="s">
        <v>425</v>
      </c>
      <c r="C15" s="16" t="s">
        <v>441</v>
      </c>
      <c r="D15" s="8" t="s">
        <v>363</v>
      </c>
      <c r="E15" s="17">
        <v>15000</v>
      </c>
      <c r="F15" s="8"/>
      <c r="G15" s="7"/>
      <c r="H15" s="8" t="s">
        <v>93</v>
      </c>
      <c r="I15" s="74" t="s">
        <v>424</v>
      </c>
      <c r="J15" s="14"/>
    </row>
    <row r="16" spans="1:10" ht="56.25">
      <c r="A16" s="250">
        <v>10</v>
      </c>
      <c r="B16" s="8" t="s">
        <v>432</v>
      </c>
      <c r="C16" s="19" t="s">
        <v>442</v>
      </c>
      <c r="D16" s="8" t="s">
        <v>364</v>
      </c>
      <c r="E16" s="29">
        <v>30000</v>
      </c>
      <c r="F16" s="8"/>
      <c r="G16" s="8"/>
      <c r="H16" s="8" t="s">
        <v>93</v>
      </c>
      <c r="I16" s="74" t="s">
        <v>424</v>
      </c>
      <c r="J16" s="14"/>
    </row>
    <row r="17" spans="1:10" ht="56.25">
      <c r="A17" s="250">
        <v>11</v>
      </c>
      <c r="B17" s="8" t="s">
        <v>432</v>
      </c>
      <c r="C17" s="19" t="s">
        <v>443</v>
      </c>
      <c r="D17" s="8" t="s">
        <v>364</v>
      </c>
      <c r="E17" s="29">
        <v>95000</v>
      </c>
      <c r="F17" s="8"/>
      <c r="G17" s="8"/>
      <c r="H17" s="8" t="s">
        <v>93</v>
      </c>
      <c r="I17" s="74" t="s">
        <v>424</v>
      </c>
      <c r="J17" s="14"/>
    </row>
    <row r="18" spans="1:10" ht="56.25">
      <c r="A18" s="250">
        <v>12</v>
      </c>
      <c r="B18" s="15" t="s">
        <v>425</v>
      </c>
      <c r="C18" s="16" t="s">
        <v>454</v>
      </c>
      <c r="D18" s="8" t="s">
        <v>373</v>
      </c>
      <c r="E18" s="17">
        <v>150000</v>
      </c>
      <c r="F18" s="8"/>
      <c r="G18" s="7"/>
      <c r="H18" s="8" t="s">
        <v>93</v>
      </c>
      <c r="I18" s="13" t="s">
        <v>424</v>
      </c>
      <c r="J18" s="14"/>
    </row>
    <row r="19" spans="1:10" ht="56.25">
      <c r="A19" s="250">
        <v>13</v>
      </c>
      <c r="B19" s="15" t="s">
        <v>425</v>
      </c>
      <c r="C19" s="16" t="s">
        <v>455</v>
      </c>
      <c r="D19" s="8" t="s">
        <v>373</v>
      </c>
      <c r="E19" s="17">
        <v>20000</v>
      </c>
      <c r="F19" s="8"/>
      <c r="G19" s="7"/>
      <c r="H19" s="8" t="s">
        <v>93</v>
      </c>
      <c r="I19" s="13" t="s">
        <v>424</v>
      </c>
      <c r="J19" s="14"/>
    </row>
    <row r="20" spans="1:10" ht="56.25">
      <c r="A20" s="250">
        <v>14</v>
      </c>
      <c r="B20" s="15" t="s">
        <v>425</v>
      </c>
      <c r="C20" s="16" t="s">
        <v>456</v>
      </c>
      <c r="D20" s="8" t="s">
        <v>373</v>
      </c>
      <c r="E20" s="17">
        <v>30000</v>
      </c>
      <c r="F20" s="8"/>
      <c r="G20" s="7"/>
      <c r="H20" s="8" t="s">
        <v>93</v>
      </c>
      <c r="I20" s="13" t="s">
        <v>424</v>
      </c>
      <c r="J20" s="14"/>
    </row>
    <row r="21" spans="1:10" ht="56.25">
      <c r="A21" s="250">
        <v>15</v>
      </c>
      <c r="B21" s="15" t="s">
        <v>425</v>
      </c>
      <c r="C21" s="16" t="s">
        <v>461</v>
      </c>
      <c r="D21" s="8" t="s">
        <v>375</v>
      </c>
      <c r="E21" s="17">
        <v>50000</v>
      </c>
      <c r="F21" s="8"/>
      <c r="G21" s="7"/>
      <c r="H21" s="8" t="s">
        <v>93</v>
      </c>
      <c r="I21" s="13" t="s">
        <v>424</v>
      </c>
      <c r="J21" s="14"/>
    </row>
    <row r="22" spans="1:10" ht="56.25">
      <c r="A22" s="250">
        <v>16</v>
      </c>
      <c r="B22" s="15" t="s">
        <v>425</v>
      </c>
      <c r="C22" s="16" t="s">
        <v>462</v>
      </c>
      <c r="D22" s="8" t="s">
        <v>375</v>
      </c>
      <c r="E22" s="17">
        <v>500000</v>
      </c>
      <c r="F22" s="8"/>
      <c r="G22" s="7"/>
      <c r="H22" s="8" t="s">
        <v>93</v>
      </c>
      <c r="I22" s="13" t="s">
        <v>424</v>
      </c>
      <c r="J22" s="14"/>
    </row>
    <row r="23" spans="1:10" ht="51" customHeight="1">
      <c r="A23" s="250">
        <v>17</v>
      </c>
      <c r="B23" s="15" t="s">
        <v>425</v>
      </c>
      <c r="C23" s="16" t="s">
        <v>463</v>
      </c>
      <c r="D23" s="8" t="s">
        <v>375</v>
      </c>
      <c r="E23" s="17">
        <v>600000</v>
      </c>
      <c r="F23" s="8"/>
      <c r="G23" s="7"/>
      <c r="H23" s="8" t="s">
        <v>93</v>
      </c>
      <c r="I23" s="13" t="s">
        <v>424</v>
      </c>
      <c r="J23" s="14"/>
    </row>
    <row r="24" spans="1:10">
      <c r="A24" s="22"/>
      <c r="B24" s="7"/>
      <c r="C24" s="21" t="s">
        <v>354</v>
      </c>
      <c r="D24" s="7"/>
      <c r="E24" s="17"/>
      <c r="F24" s="7"/>
      <c r="G24" s="7"/>
      <c r="H24" s="7"/>
      <c r="I24" s="252"/>
      <c r="J24" s="14"/>
    </row>
    <row r="25" spans="1:10" ht="56.25">
      <c r="A25" s="250">
        <v>18</v>
      </c>
      <c r="B25" s="8" t="s">
        <v>425</v>
      </c>
      <c r="C25" s="11" t="s">
        <v>97</v>
      </c>
      <c r="D25" s="8" t="s">
        <v>353</v>
      </c>
      <c r="E25" s="12">
        <v>50000</v>
      </c>
      <c r="F25" s="8"/>
      <c r="G25" s="7"/>
      <c r="H25" s="8" t="s">
        <v>93</v>
      </c>
      <c r="I25" s="13" t="s">
        <v>424</v>
      </c>
      <c r="J25" s="14" t="s">
        <v>77</v>
      </c>
    </row>
    <row r="26" spans="1:10" ht="56.25">
      <c r="A26" s="250">
        <v>19</v>
      </c>
      <c r="B26" s="8" t="s">
        <v>425</v>
      </c>
      <c r="C26" s="11" t="s">
        <v>489</v>
      </c>
      <c r="D26" s="8" t="s">
        <v>364</v>
      </c>
      <c r="E26" s="12">
        <v>20000</v>
      </c>
      <c r="F26" s="8"/>
      <c r="G26" s="7"/>
      <c r="H26" s="8" t="s">
        <v>93</v>
      </c>
      <c r="I26" s="13" t="s">
        <v>424</v>
      </c>
      <c r="J26" s="14"/>
    </row>
    <row r="27" spans="1:10" ht="40.5" customHeight="1">
      <c r="A27" s="250">
        <v>20</v>
      </c>
      <c r="B27" s="15" t="s">
        <v>425</v>
      </c>
      <c r="C27" s="16" t="s">
        <v>228</v>
      </c>
      <c r="D27" s="8" t="s">
        <v>373</v>
      </c>
      <c r="E27" s="17">
        <v>200000</v>
      </c>
      <c r="F27" s="8"/>
      <c r="G27" s="7"/>
      <c r="H27" s="8" t="s">
        <v>93</v>
      </c>
      <c r="I27" s="13" t="s">
        <v>424</v>
      </c>
      <c r="J27" s="14" t="s">
        <v>77</v>
      </c>
    </row>
    <row r="28" spans="1:10">
      <c r="A28" s="22"/>
      <c r="B28" s="7"/>
      <c r="C28" s="21" t="s">
        <v>355</v>
      </c>
      <c r="D28" s="7"/>
      <c r="E28" s="17"/>
      <c r="F28" s="7"/>
      <c r="G28" s="7"/>
      <c r="H28" s="7"/>
      <c r="I28" s="252"/>
      <c r="J28" s="14"/>
    </row>
    <row r="29" spans="1:10" ht="56.25">
      <c r="A29" s="250">
        <v>21</v>
      </c>
      <c r="B29" s="15" t="s">
        <v>425</v>
      </c>
      <c r="C29" s="16" t="s">
        <v>427</v>
      </c>
      <c r="D29" s="8" t="s">
        <v>353</v>
      </c>
      <c r="E29" s="17">
        <v>130000</v>
      </c>
      <c r="F29" s="8"/>
      <c r="G29" s="7"/>
      <c r="H29" s="8" t="s">
        <v>93</v>
      </c>
      <c r="I29" s="74" t="s">
        <v>424</v>
      </c>
      <c r="J29" s="14"/>
    </row>
    <row r="30" spans="1:10" ht="56.25">
      <c r="A30" s="250">
        <v>22</v>
      </c>
      <c r="B30" s="15" t="s">
        <v>425</v>
      </c>
      <c r="C30" s="16" t="s">
        <v>428</v>
      </c>
      <c r="D30" s="8" t="s">
        <v>353</v>
      </c>
      <c r="E30" s="17">
        <v>99000</v>
      </c>
      <c r="F30" s="8"/>
      <c r="G30" s="7"/>
      <c r="H30" s="8" t="s">
        <v>93</v>
      </c>
      <c r="I30" s="74" t="s">
        <v>424</v>
      </c>
      <c r="J30" s="14"/>
    </row>
    <row r="31" spans="1:10" ht="56.25">
      <c r="A31" s="250">
        <v>23</v>
      </c>
      <c r="B31" s="15" t="s">
        <v>425</v>
      </c>
      <c r="C31" s="16" t="s">
        <v>372</v>
      </c>
      <c r="D31" s="8" t="s">
        <v>353</v>
      </c>
      <c r="E31" s="17">
        <v>40000</v>
      </c>
      <c r="F31" s="8"/>
      <c r="G31" s="7"/>
      <c r="H31" s="8" t="s">
        <v>93</v>
      </c>
      <c r="I31" s="74" t="s">
        <v>424</v>
      </c>
      <c r="J31" s="14"/>
    </row>
    <row r="32" spans="1:10">
      <c r="A32" s="22"/>
      <c r="B32" s="7"/>
      <c r="C32" s="21" t="s">
        <v>357</v>
      </c>
      <c r="D32" s="7"/>
      <c r="E32" s="17"/>
      <c r="F32" s="7"/>
      <c r="G32" s="7"/>
      <c r="H32" s="7"/>
      <c r="I32" s="252"/>
      <c r="J32" s="14"/>
    </row>
    <row r="33" spans="1:10" ht="56.25">
      <c r="A33" s="250">
        <v>24</v>
      </c>
      <c r="B33" s="15" t="s">
        <v>425</v>
      </c>
      <c r="C33" s="16" t="s">
        <v>429</v>
      </c>
      <c r="D33" s="8" t="s">
        <v>353</v>
      </c>
      <c r="E33" s="17">
        <v>20000</v>
      </c>
      <c r="F33" s="8"/>
      <c r="G33" s="7"/>
      <c r="H33" s="8" t="s">
        <v>93</v>
      </c>
      <c r="I33" s="74" t="s">
        <v>424</v>
      </c>
      <c r="J33" s="14"/>
    </row>
    <row r="34" spans="1:10">
      <c r="A34" s="250"/>
      <c r="B34" s="233"/>
      <c r="C34" s="21" t="s">
        <v>362</v>
      </c>
      <c r="D34" s="7"/>
      <c r="E34" s="17"/>
      <c r="F34" s="7"/>
      <c r="G34" s="7"/>
      <c r="H34" s="7"/>
      <c r="I34" s="13"/>
      <c r="J34" s="14"/>
    </row>
    <row r="35" spans="1:10" ht="56.25">
      <c r="A35" s="250">
        <v>25</v>
      </c>
      <c r="B35" s="15" t="s">
        <v>425</v>
      </c>
      <c r="C35" s="16" t="s">
        <v>430</v>
      </c>
      <c r="D35" s="8" t="s">
        <v>353</v>
      </c>
      <c r="E35" s="17">
        <v>48000</v>
      </c>
      <c r="F35" s="8"/>
      <c r="G35" s="7"/>
      <c r="H35" s="8" t="s">
        <v>93</v>
      </c>
      <c r="I35" s="74" t="s">
        <v>424</v>
      </c>
      <c r="J35" s="14"/>
    </row>
    <row r="36" spans="1:10" ht="56.25">
      <c r="A36" s="250">
        <v>26</v>
      </c>
      <c r="B36" s="15" t="s">
        <v>432</v>
      </c>
      <c r="C36" s="16" t="s">
        <v>431</v>
      </c>
      <c r="D36" s="8" t="s">
        <v>353</v>
      </c>
      <c r="E36" s="29">
        <v>9600</v>
      </c>
      <c r="F36" s="8"/>
      <c r="G36" s="8"/>
      <c r="H36" s="8" t="s">
        <v>93</v>
      </c>
      <c r="I36" s="74" t="s">
        <v>424</v>
      </c>
      <c r="J36" s="14"/>
    </row>
    <row r="37" spans="1:10">
      <c r="A37" s="250"/>
      <c r="B37" s="233"/>
      <c r="C37" s="21" t="s">
        <v>444</v>
      </c>
      <c r="D37" s="7"/>
      <c r="E37" s="17"/>
      <c r="F37" s="7"/>
      <c r="G37" s="7"/>
      <c r="H37" s="7"/>
      <c r="I37" s="13"/>
      <c r="J37" s="14"/>
    </row>
    <row r="38" spans="1:10" ht="56.25">
      <c r="A38" s="74">
        <v>27</v>
      </c>
      <c r="B38" s="15" t="s">
        <v>425</v>
      </c>
      <c r="C38" s="80" t="s">
        <v>445</v>
      </c>
      <c r="D38" s="8" t="s">
        <v>364</v>
      </c>
      <c r="E38" s="29">
        <v>17000</v>
      </c>
      <c r="F38" s="8"/>
      <c r="G38" s="8"/>
      <c r="H38" s="8" t="s">
        <v>93</v>
      </c>
      <c r="I38" s="74" t="s">
        <v>424</v>
      </c>
      <c r="J38" s="14"/>
    </row>
    <row r="39" spans="1:10" ht="56.25">
      <c r="A39" s="250">
        <v>28</v>
      </c>
      <c r="B39" s="15" t="s">
        <v>425</v>
      </c>
      <c r="C39" s="16" t="s">
        <v>457</v>
      </c>
      <c r="D39" s="8" t="s">
        <v>373</v>
      </c>
      <c r="E39" s="17">
        <v>59000</v>
      </c>
      <c r="F39" s="8"/>
      <c r="G39" s="7"/>
      <c r="H39" s="8" t="s">
        <v>93</v>
      </c>
      <c r="I39" s="13" t="s">
        <v>424</v>
      </c>
      <c r="J39" s="14"/>
    </row>
    <row r="40" spans="1:10">
      <c r="A40" s="255"/>
      <c r="B40" s="233"/>
      <c r="C40" s="256"/>
      <c r="D40" s="233"/>
      <c r="E40" s="257"/>
      <c r="F40" s="233"/>
      <c r="G40" s="233"/>
      <c r="H40" s="233"/>
      <c r="I40" s="258"/>
      <c r="J40" s="263"/>
    </row>
    <row r="41" spans="1:10">
      <c r="A41" s="265"/>
      <c r="B41" s="25"/>
      <c r="C41" s="26"/>
      <c r="D41" s="25"/>
      <c r="E41" s="27"/>
      <c r="F41" s="25"/>
      <c r="G41" s="25"/>
      <c r="H41" s="25"/>
      <c r="I41" s="24"/>
      <c r="J41" s="266"/>
    </row>
    <row r="42" spans="1:10">
      <c r="A42" s="250"/>
      <c r="B42" s="10"/>
      <c r="C42" s="260"/>
      <c r="D42" s="10"/>
      <c r="E42" s="12"/>
      <c r="F42" s="10"/>
      <c r="G42" s="10"/>
      <c r="H42" s="10"/>
      <c r="I42" s="261"/>
      <c r="J42" s="264"/>
    </row>
    <row r="43" spans="1:10">
      <c r="A43" s="250"/>
      <c r="B43" s="233"/>
      <c r="C43" s="21" t="s">
        <v>356</v>
      </c>
      <c r="D43" s="7"/>
      <c r="E43" s="17"/>
      <c r="F43" s="7"/>
      <c r="G43" s="7"/>
      <c r="H43" s="7"/>
      <c r="I43" s="13"/>
      <c r="J43" s="14"/>
    </row>
    <row r="44" spans="1:10" ht="56.25">
      <c r="A44" s="74">
        <v>29</v>
      </c>
      <c r="B44" s="15" t="s">
        <v>425</v>
      </c>
      <c r="C44" s="19" t="s">
        <v>446</v>
      </c>
      <c r="D44" s="8" t="s">
        <v>364</v>
      </c>
      <c r="E44" s="29">
        <v>60000</v>
      </c>
      <c r="F44" s="8"/>
      <c r="G44" s="8"/>
      <c r="H44" s="8" t="s">
        <v>93</v>
      </c>
      <c r="I44" s="74" t="s">
        <v>424</v>
      </c>
      <c r="J44" s="14"/>
    </row>
    <row r="45" spans="1:10" ht="56.25">
      <c r="A45" s="74">
        <v>30</v>
      </c>
      <c r="B45" s="15" t="s">
        <v>425</v>
      </c>
      <c r="C45" s="19" t="s">
        <v>447</v>
      </c>
      <c r="D45" s="8" t="s">
        <v>364</v>
      </c>
      <c r="E45" s="29">
        <v>30000</v>
      </c>
      <c r="F45" s="8"/>
      <c r="G45" s="8"/>
      <c r="H45" s="8" t="s">
        <v>93</v>
      </c>
      <c r="I45" s="74" t="s">
        <v>424</v>
      </c>
      <c r="J45" s="14"/>
    </row>
    <row r="46" spans="1:10">
      <c r="A46" s="22"/>
      <c r="B46" s="7"/>
      <c r="C46" s="21" t="s">
        <v>387</v>
      </c>
      <c r="D46" s="7"/>
      <c r="E46" s="17"/>
      <c r="F46" s="7"/>
      <c r="G46" s="7"/>
      <c r="H46" s="7"/>
      <c r="I46" s="252"/>
      <c r="J46" s="14"/>
    </row>
    <row r="47" spans="1:10" ht="33.75" customHeight="1">
      <c r="A47" s="250">
        <v>31</v>
      </c>
      <c r="B47" s="8" t="s">
        <v>425</v>
      </c>
      <c r="C47" s="16" t="s">
        <v>169</v>
      </c>
      <c r="D47" s="8" t="s">
        <v>387</v>
      </c>
      <c r="E47" s="17">
        <v>394590</v>
      </c>
      <c r="F47" s="8"/>
      <c r="G47" s="7"/>
      <c r="H47" s="8" t="s">
        <v>93</v>
      </c>
      <c r="I47" s="13" t="s">
        <v>424</v>
      </c>
      <c r="J47" s="14" t="s">
        <v>77</v>
      </c>
    </row>
    <row r="51" spans="4:5" s="20" customFormat="1">
      <c r="D51" s="248" t="s">
        <v>95</v>
      </c>
      <c r="E51" s="253"/>
    </row>
    <row r="52" spans="4:5" s="20" customFormat="1">
      <c r="D52" s="248" t="s">
        <v>100</v>
      </c>
      <c r="E52" s="253"/>
    </row>
    <row r="53" spans="4:5" s="20" customFormat="1">
      <c r="D53" s="248" t="s">
        <v>343</v>
      </c>
      <c r="E53" s="253"/>
    </row>
    <row r="54" spans="4:5" s="20" customFormat="1">
      <c r="D54" s="248" t="s">
        <v>79</v>
      </c>
      <c r="E54" s="253"/>
    </row>
  </sheetData>
  <mergeCells count="10">
    <mergeCell ref="C4:C5"/>
    <mergeCell ref="H4:H5"/>
    <mergeCell ref="J4:J5"/>
    <mergeCell ref="A2:J2"/>
    <mergeCell ref="A3:J3"/>
    <mergeCell ref="D4:E4"/>
    <mergeCell ref="F4:G4"/>
    <mergeCell ref="A4:A5"/>
    <mergeCell ref="B4:B5"/>
    <mergeCell ref="I4:I5"/>
  </mergeCells>
  <phoneticPr fontId="0" type="noConversion"/>
  <pageMargins left="0.59055118110236227" right="0.47244094488188981" top="0.51181102362204722" bottom="0.70866141732283472" header="0.31496062992125984" footer="0.31496062992125984"/>
  <pageSetup paperSize="9" scale="99" orientation="landscape" r:id="rId1"/>
  <headerFooter alignWithMargins="0">
    <oddHeader>&amp;Rแผ่นที่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174"/>
  <sheetViews>
    <sheetView view="pageBreakPreview" zoomScale="125" zoomScaleNormal="100" zoomScaleSheetLayoutView="125" workbookViewId="0">
      <selection activeCell="M102" sqref="M102"/>
    </sheetView>
  </sheetViews>
  <sheetFormatPr defaultRowHeight="18.75"/>
  <cols>
    <col min="1" max="1" width="5" style="3" customWidth="1"/>
    <col min="2" max="2" width="28.42578125" style="3" customWidth="1"/>
    <col min="3" max="3" width="11.42578125" style="3" customWidth="1"/>
    <col min="4" max="4" width="8.28515625" style="3" customWidth="1"/>
    <col min="5" max="5" width="12.5703125" style="23" customWidth="1"/>
    <col min="6" max="6" width="14.42578125" style="23" customWidth="1"/>
    <col min="7" max="7" width="13.42578125" style="3" customWidth="1"/>
    <col min="8" max="12" width="2.7109375" style="3" customWidth="1"/>
    <col min="13" max="13" width="15.85546875" style="23" customWidth="1"/>
    <col min="14" max="14" width="17" style="23" bestFit="1" customWidth="1"/>
    <col min="15" max="15" width="16.5703125" style="273" customWidth="1"/>
    <col min="16" max="16" width="7.140625" style="3" customWidth="1"/>
    <col min="17" max="21" width="9.140625" style="26"/>
    <col min="22" max="16384" width="9.140625" style="3"/>
  </cols>
  <sheetData>
    <row r="1" spans="1:21" ht="37.5">
      <c r="P1" s="3" t="s">
        <v>112</v>
      </c>
    </row>
    <row r="2" spans="1:21" s="35" customFormat="1" ht="21.75" customHeight="1">
      <c r="C2" s="64" t="s">
        <v>518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41" t="s">
        <v>157</v>
      </c>
      <c r="O2" s="342"/>
      <c r="P2" s="342"/>
      <c r="Q2" s="65"/>
      <c r="R2" s="65"/>
      <c r="S2" s="65"/>
      <c r="T2" s="65"/>
      <c r="U2" s="65"/>
    </row>
    <row r="3" spans="1:21" s="35" customFormat="1" ht="21.75" customHeight="1">
      <c r="C3" s="315" t="s">
        <v>159</v>
      </c>
      <c r="D3" s="320"/>
      <c r="E3" s="320"/>
      <c r="F3" s="320"/>
      <c r="G3" s="320"/>
      <c r="H3" s="320"/>
      <c r="I3" s="320"/>
      <c r="J3" s="320"/>
      <c r="K3" s="320"/>
      <c r="L3" s="320"/>
      <c r="M3" s="31"/>
      <c r="N3" s="341" t="s">
        <v>114</v>
      </c>
      <c r="O3" s="342"/>
      <c r="P3" s="342"/>
      <c r="Q3" s="65"/>
      <c r="R3" s="65"/>
      <c r="S3" s="65"/>
      <c r="T3" s="65"/>
      <c r="U3" s="65"/>
    </row>
    <row r="4" spans="1:21" s="35" customFormat="1" ht="21.75" customHeight="1">
      <c r="C4" s="343" t="s">
        <v>644</v>
      </c>
      <c r="D4" s="322"/>
      <c r="E4" s="322"/>
      <c r="F4" s="322"/>
      <c r="G4" s="322"/>
      <c r="H4" s="322"/>
      <c r="I4" s="322"/>
      <c r="J4" s="322"/>
      <c r="K4" s="322"/>
      <c r="L4" s="322"/>
      <c r="M4" s="31"/>
      <c r="N4" s="341" t="s">
        <v>230</v>
      </c>
      <c r="O4" s="342"/>
      <c r="P4" s="342"/>
      <c r="Q4" s="65"/>
      <c r="R4" s="65"/>
      <c r="S4" s="65"/>
      <c r="T4" s="65"/>
      <c r="U4" s="65"/>
    </row>
    <row r="5" spans="1:21" s="35" customFormat="1" ht="12.75" customHeight="1">
      <c r="E5" s="66"/>
      <c r="F5" s="66"/>
      <c r="M5" s="66"/>
      <c r="N5" s="66"/>
      <c r="O5" s="274"/>
      <c r="Q5" s="65"/>
      <c r="R5" s="65"/>
      <c r="S5" s="65"/>
      <c r="T5" s="65"/>
      <c r="U5" s="65"/>
    </row>
    <row r="6" spans="1:21" s="35" customFormat="1" ht="18.75" customHeight="1">
      <c r="A6" s="332" t="s">
        <v>185</v>
      </c>
      <c r="B6" s="332" t="s">
        <v>117</v>
      </c>
      <c r="C6" s="332" t="s">
        <v>118</v>
      </c>
      <c r="D6" s="332" t="s">
        <v>119</v>
      </c>
      <c r="E6" s="337" t="s">
        <v>87</v>
      </c>
      <c r="F6" s="332" t="s">
        <v>395</v>
      </c>
      <c r="G6" s="332" t="s">
        <v>120</v>
      </c>
      <c r="H6" s="340" t="s">
        <v>121</v>
      </c>
      <c r="I6" s="340"/>
      <c r="J6" s="340"/>
      <c r="K6" s="340"/>
      <c r="L6" s="340"/>
      <c r="M6" s="337" t="s">
        <v>122</v>
      </c>
      <c r="N6" s="337" t="s">
        <v>123</v>
      </c>
      <c r="O6" s="344" t="s">
        <v>124</v>
      </c>
      <c r="P6" s="332" t="s">
        <v>91</v>
      </c>
      <c r="Q6" s="65"/>
      <c r="R6" s="65"/>
      <c r="S6" s="65"/>
      <c r="T6" s="65"/>
      <c r="U6" s="65"/>
    </row>
    <row r="7" spans="1:21" s="35" customFormat="1">
      <c r="A7" s="314"/>
      <c r="B7" s="339"/>
      <c r="C7" s="314"/>
      <c r="D7" s="339"/>
      <c r="E7" s="339"/>
      <c r="F7" s="314"/>
      <c r="G7" s="314"/>
      <c r="H7" s="67">
        <v>1</v>
      </c>
      <c r="I7" s="67">
        <v>2</v>
      </c>
      <c r="J7" s="67">
        <v>3</v>
      </c>
      <c r="K7" s="67">
        <v>4</v>
      </c>
      <c r="L7" s="68">
        <v>5</v>
      </c>
      <c r="M7" s="314"/>
      <c r="N7" s="338"/>
      <c r="O7" s="345"/>
      <c r="P7" s="339"/>
      <c r="Q7" s="65"/>
      <c r="R7" s="65"/>
      <c r="S7" s="65"/>
      <c r="T7" s="65"/>
      <c r="U7" s="65"/>
    </row>
    <row r="8" spans="1:21" s="35" customFormat="1">
      <c r="A8" s="8"/>
      <c r="B8" s="75" t="s">
        <v>110</v>
      </c>
      <c r="C8" s="8"/>
      <c r="D8" s="19"/>
      <c r="E8" s="19"/>
      <c r="F8" s="8"/>
      <c r="G8" s="8"/>
      <c r="H8" s="67"/>
      <c r="I8" s="67"/>
      <c r="J8" s="67"/>
      <c r="K8" s="67"/>
      <c r="L8" s="68"/>
      <c r="M8" s="8"/>
      <c r="N8" s="275"/>
      <c r="O8" s="76"/>
      <c r="P8" s="19"/>
      <c r="Q8" s="65"/>
      <c r="R8" s="65"/>
      <c r="S8" s="65"/>
      <c r="T8" s="65"/>
      <c r="U8" s="65"/>
    </row>
    <row r="9" spans="1:21" s="35" customFormat="1">
      <c r="A9" s="74">
        <v>1</v>
      </c>
      <c r="B9" s="11" t="s">
        <v>227</v>
      </c>
      <c r="C9" s="8" t="s">
        <v>110</v>
      </c>
      <c r="D9" s="8"/>
      <c r="E9" s="12">
        <v>200000</v>
      </c>
      <c r="F9" s="29">
        <f>200000-18050</f>
        <v>181950</v>
      </c>
      <c r="G9" s="8" t="s">
        <v>424</v>
      </c>
      <c r="H9" s="8"/>
      <c r="I9" s="8"/>
      <c r="J9" s="8"/>
      <c r="K9" s="8"/>
      <c r="L9" s="8" t="s">
        <v>125</v>
      </c>
      <c r="M9" s="29">
        <f>+รายการ!S3</f>
        <v>175600</v>
      </c>
      <c r="N9" s="29">
        <f>F9-M9</f>
        <v>6350</v>
      </c>
      <c r="O9" s="76"/>
      <c r="P9" s="19"/>
      <c r="Q9" s="65"/>
      <c r="R9" s="65"/>
      <c r="S9" s="65"/>
      <c r="T9" s="65"/>
      <c r="U9" s="65"/>
    </row>
    <row r="10" spans="1:21" s="35" customFormat="1" ht="47.25">
      <c r="A10" s="74">
        <v>2</v>
      </c>
      <c r="B10" s="11" t="s">
        <v>82</v>
      </c>
      <c r="C10" s="8" t="s">
        <v>110</v>
      </c>
      <c r="D10" s="8"/>
      <c r="E10" s="12">
        <v>500000</v>
      </c>
      <c r="F10" s="29">
        <f>+E10-500000</f>
        <v>0</v>
      </c>
      <c r="G10" s="8" t="s">
        <v>424</v>
      </c>
      <c r="H10" s="8"/>
      <c r="I10" s="8"/>
      <c r="J10" s="8"/>
      <c r="K10" s="8"/>
      <c r="L10" s="8"/>
      <c r="M10" s="29"/>
      <c r="N10" s="29">
        <f>+F10</f>
        <v>0</v>
      </c>
      <c r="O10" s="76"/>
      <c r="P10" s="14" t="s">
        <v>398</v>
      </c>
      <c r="Q10" s="65"/>
      <c r="R10" s="65"/>
      <c r="S10" s="65"/>
      <c r="T10" s="65"/>
      <c r="U10" s="65"/>
    </row>
    <row r="11" spans="1:21" s="35" customFormat="1" ht="47.25">
      <c r="A11" s="74">
        <v>3</v>
      </c>
      <c r="B11" s="11" t="s">
        <v>523</v>
      </c>
      <c r="C11" s="8" t="s">
        <v>110</v>
      </c>
      <c r="D11" s="8"/>
      <c r="E11" s="12">
        <v>100000</v>
      </c>
      <c r="F11" s="29">
        <v>0</v>
      </c>
      <c r="G11" s="8" t="s">
        <v>424</v>
      </c>
      <c r="H11" s="8"/>
      <c r="I11" s="8"/>
      <c r="J11" s="8"/>
      <c r="K11" s="8"/>
      <c r="L11" s="8"/>
      <c r="M11" s="29"/>
      <c r="N11" s="29">
        <f>+F11</f>
        <v>0</v>
      </c>
      <c r="O11" s="76"/>
      <c r="P11" s="14" t="s">
        <v>398</v>
      </c>
      <c r="Q11" s="65"/>
      <c r="R11" s="65"/>
      <c r="S11" s="65"/>
      <c r="T11" s="65"/>
      <c r="U11" s="65"/>
    </row>
    <row r="12" spans="1:21" s="35" customFormat="1">
      <c r="A12" s="74">
        <v>4</v>
      </c>
      <c r="B12" s="11" t="s">
        <v>97</v>
      </c>
      <c r="C12" s="8" t="s">
        <v>110</v>
      </c>
      <c r="D12" s="8"/>
      <c r="E12" s="12">
        <v>50000</v>
      </c>
      <c r="F12" s="29"/>
      <c r="G12" s="8" t="s">
        <v>424</v>
      </c>
      <c r="H12" s="8"/>
      <c r="I12" s="8"/>
      <c r="J12" s="8"/>
      <c r="K12" s="8"/>
      <c r="L12" s="8" t="s">
        <v>125</v>
      </c>
      <c r="M12" s="29">
        <f>+รายการ!S6</f>
        <v>49707</v>
      </c>
      <c r="N12" s="29">
        <f>E12-M12</f>
        <v>293</v>
      </c>
      <c r="O12" s="76"/>
      <c r="P12" s="19"/>
      <c r="Q12" s="65"/>
      <c r="R12" s="65"/>
      <c r="S12" s="65"/>
      <c r="T12" s="65"/>
      <c r="U12" s="65"/>
    </row>
    <row r="13" spans="1:21" s="35" customFormat="1">
      <c r="A13" s="74">
        <v>5</v>
      </c>
      <c r="B13" s="16" t="s">
        <v>427</v>
      </c>
      <c r="C13" s="8" t="s">
        <v>110</v>
      </c>
      <c r="D13" s="8"/>
      <c r="E13" s="17">
        <v>130000</v>
      </c>
      <c r="F13" s="29">
        <f>130000-10000</f>
        <v>120000</v>
      </c>
      <c r="G13" s="15" t="s">
        <v>424</v>
      </c>
      <c r="H13" s="8"/>
      <c r="I13" s="8"/>
      <c r="J13" s="8"/>
      <c r="K13" s="8"/>
      <c r="L13" s="8" t="s">
        <v>125</v>
      </c>
      <c r="M13" s="29">
        <v>120000</v>
      </c>
      <c r="N13" s="29">
        <f t="shared" ref="N13:N18" si="0">F13-M13</f>
        <v>0</v>
      </c>
      <c r="O13" s="76"/>
      <c r="P13" s="19"/>
      <c r="Q13" s="65"/>
      <c r="R13" s="65"/>
      <c r="S13" s="65"/>
      <c r="T13" s="65"/>
      <c r="U13" s="65"/>
    </row>
    <row r="14" spans="1:21" s="35" customFormat="1" ht="37.5">
      <c r="A14" s="74">
        <v>6</v>
      </c>
      <c r="B14" s="16" t="s">
        <v>428</v>
      </c>
      <c r="C14" s="8" t="s">
        <v>110</v>
      </c>
      <c r="D14" s="8"/>
      <c r="E14" s="17">
        <v>99000</v>
      </c>
      <c r="F14" s="29">
        <f>99000-9000</f>
        <v>90000</v>
      </c>
      <c r="G14" s="15" t="s">
        <v>424</v>
      </c>
      <c r="H14" s="8"/>
      <c r="I14" s="8"/>
      <c r="J14" s="8"/>
      <c r="K14" s="8"/>
      <c r="L14" s="8" t="s">
        <v>125</v>
      </c>
      <c r="M14" s="29">
        <v>90000</v>
      </c>
      <c r="N14" s="29">
        <f t="shared" si="0"/>
        <v>0</v>
      </c>
      <c r="O14" s="76"/>
      <c r="P14" s="19"/>
      <c r="Q14" s="65"/>
      <c r="R14" s="65"/>
      <c r="S14" s="65"/>
      <c r="T14" s="65"/>
      <c r="U14" s="65"/>
    </row>
    <row r="15" spans="1:21" s="35" customFormat="1">
      <c r="A15" s="74">
        <v>7</v>
      </c>
      <c r="B15" s="16" t="s">
        <v>372</v>
      </c>
      <c r="C15" s="8" t="s">
        <v>110</v>
      </c>
      <c r="D15" s="8"/>
      <c r="E15" s="17">
        <v>40000</v>
      </c>
      <c r="F15" s="29">
        <f>40000-6600</f>
        <v>33400</v>
      </c>
      <c r="G15" s="15" t="s">
        <v>424</v>
      </c>
      <c r="H15" s="8"/>
      <c r="I15" s="8"/>
      <c r="J15" s="8"/>
      <c r="K15" s="8"/>
      <c r="L15" s="8" t="s">
        <v>125</v>
      </c>
      <c r="M15" s="29">
        <v>33400</v>
      </c>
      <c r="N15" s="29">
        <f t="shared" si="0"/>
        <v>0</v>
      </c>
      <c r="O15" s="76"/>
      <c r="P15" s="19"/>
      <c r="Q15" s="65"/>
      <c r="R15" s="65"/>
      <c r="S15" s="65"/>
      <c r="T15" s="65"/>
      <c r="U15" s="65"/>
    </row>
    <row r="16" spans="1:21" s="35" customFormat="1">
      <c r="A16" s="74">
        <v>8</v>
      </c>
      <c r="B16" s="16" t="s">
        <v>429</v>
      </c>
      <c r="C16" s="8" t="s">
        <v>110</v>
      </c>
      <c r="D16" s="8"/>
      <c r="E16" s="17">
        <v>20000</v>
      </c>
      <c r="F16" s="29">
        <f>20000-10</f>
        <v>19990</v>
      </c>
      <c r="G16" s="15" t="s">
        <v>424</v>
      </c>
      <c r="H16" s="8"/>
      <c r="I16" s="8"/>
      <c r="J16" s="8"/>
      <c r="K16" s="8"/>
      <c r="L16" s="8" t="s">
        <v>125</v>
      </c>
      <c r="M16" s="29">
        <v>19990</v>
      </c>
      <c r="N16" s="29">
        <f t="shared" si="0"/>
        <v>0</v>
      </c>
      <c r="O16" s="76"/>
      <c r="P16" s="19"/>
      <c r="Q16" s="65"/>
      <c r="R16" s="65"/>
      <c r="S16" s="65"/>
      <c r="T16" s="65"/>
      <c r="U16" s="65"/>
    </row>
    <row r="17" spans="1:21" s="35" customFormat="1" ht="37.5">
      <c r="A17" s="74">
        <v>9</v>
      </c>
      <c r="B17" s="16" t="s">
        <v>436</v>
      </c>
      <c r="C17" s="8" t="s">
        <v>110</v>
      </c>
      <c r="D17" s="8"/>
      <c r="E17" s="17">
        <v>48000</v>
      </c>
      <c r="F17" s="29">
        <f>48000-1200</f>
        <v>46800</v>
      </c>
      <c r="G17" s="15" t="s">
        <v>424</v>
      </c>
      <c r="H17" s="8"/>
      <c r="I17" s="8"/>
      <c r="J17" s="8"/>
      <c r="K17" s="8"/>
      <c r="L17" s="8" t="s">
        <v>125</v>
      </c>
      <c r="M17" s="29">
        <v>46800</v>
      </c>
      <c r="N17" s="29">
        <f t="shared" si="0"/>
        <v>0</v>
      </c>
      <c r="O17" s="76"/>
      <c r="P17" s="19"/>
      <c r="Q17" s="65"/>
      <c r="R17" s="65"/>
      <c r="S17" s="65"/>
      <c r="T17" s="65"/>
      <c r="U17" s="65"/>
    </row>
    <row r="18" spans="1:21" s="35" customFormat="1" ht="37.5">
      <c r="A18" s="74">
        <v>10</v>
      </c>
      <c r="B18" s="16" t="s">
        <v>524</v>
      </c>
      <c r="C18" s="8" t="s">
        <v>110</v>
      </c>
      <c r="D18" s="8"/>
      <c r="E18" s="17">
        <v>9600</v>
      </c>
      <c r="F18" s="29">
        <f>9600-3000</f>
        <v>6600</v>
      </c>
      <c r="G18" s="15" t="s">
        <v>424</v>
      </c>
      <c r="H18" s="8"/>
      <c r="I18" s="8"/>
      <c r="J18" s="8"/>
      <c r="K18" s="8"/>
      <c r="L18" s="8" t="s">
        <v>125</v>
      </c>
      <c r="M18" s="29">
        <v>6600</v>
      </c>
      <c r="N18" s="29">
        <f t="shared" si="0"/>
        <v>0</v>
      </c>
      <c r="O18" s="76"/>
      <c r="P18" s="19"/>
      <c r="Q18" s="65"/>
      <c r="R18" s="65"/>
      <c r="S18" s="65"/>
      <c r="T18" s="65"/>
      <c r="U18" s="65"/>
    </row>
    <row r="19" spans="1:21" s="35" customFormat="1" ht="47.25">
      <c r="A19" s="74">
        <v>11</v>
      </c>
      <c r="B19" s="16" t="s">
        <v>358</v>
      </c>
      <c r="C19" s="8" t="s">
        <v>110</v>
      </c>
      <c r="D19" s="8"/>
      <c r="E19" s="17">
        <v>50000</v>
      </c>
      <c r="F19" s="29">
        <f>50000-50000</f>
        <v>0</v>
      </c>
      <c r="G19" s="15" t="s">
        <v>424</v>
      </c>
      <c r="H19" s="8"/>
      <c r="I19" s="8"/>
      <c r="J19" s="8"/>
      <c r="K19" s="8"/>
      <c r="L19" s="8"/>
      <c r="M19" s="29"/>
      <c r="N19" s="29">
        <f>+F19</f>
        <v>0</v>
      </c>
      <c r="O19" s="76"/>
      <c r="P19" s="14" t="s">
        <v>398</v>
      </c>
      <c r="Q19" s="65"/>
      <c r="R19" s="65"/>
      <c r="S19" s="65"/>
      <c r="T19" s="65"/>
      <c r="U19" s="65"/>
    </row>
    <row r="20" spans="1:21" s="35" customFormat="1" ht="93.75">
      <c r="A20" s="74">
        <v>12</v>
      </c>
      <c r="B20" s="16" t="s">
        <v>360</v>
      </c>
      <c r="C20" s="8" t="s">
        <v>110</v>
      </c>
      <c r="D20" s="8"/>
      <c r="E20" s="17">
        <v>20000</v>
      </c>
      <c r="F20" s="29">
        <f>20000-20000</f>
        <v>0</v>
      </c>
      <c r="G20" s="8" t="s">
        <v>424</v>
      </c>
      <c r="H20" s="8"/>
      <c r="I20" s="8"/>
      <c r="J20" s="8"/>
      <c r="K20" s="8"/>
      <c r="L20" s="8"/>
      <c r="M20" s="29"/>
      <c r="N20" s="29">
        <f>+F20</f>
        <v>0</v>
      </c>
      <c r="O20" s="76"/>
      <c r="P20" s="14" t="s">
        <v>398</v>
      </c>
      <c r="Q20" s="65"/>
      <c r="R20" s="65"/>
      <c r="S20" s="65"/>
      <c r="T20" s="65"/>
      <c r="U20" s="65"/>
    </row>
    <row r="21" spans="1:21" s="35" customFormat="1" ht="37.5">
      <c r="A21" s="74">
        <v>13</v>
      </c>
      <c r="B21" s="16" t="s">
        <v>337</v>
      </c>
      <c r="C21" s="8" t="s">
        <v>110</v>
      </c>
      <c r="D21" s="8"/>
      <c r="E21" s="17">
        <v>10000</v>
      </c>
      <c r="F21" s="29">
        <f>10000+80000</f>
        <v>90000</v>
      </c>
      <c r="G21" s="15" t="s">
        <v>424</v>
      </c>
      <c r="H21" s="8"/>
      <c r="I21" s="8"/>
      <c r="J21" s="8"/>
      <c r="K21" s="8"/>
      <c r="L21" s="8" t="s">
        <v>125</v>
      </c>
      <c r="M21" s="29">
        <f>+รายการ!S15</f>
        <v>65025</v>
      </c>
      <c r="N21" s="29">
        <f>F21-M21</f>
        <v>24975</v>
      </c>
      <c r="O21" s="76"/>
      <c r="P21" s="19"/>
      <c r="Q21" s="65"/>
      <c r="R21" s="65"/>
      <c r="S21" s="65"/>
      <c r="T21" s="65"/>
      <c r="U21" s="65"/>
    </row>
    <row r="22" spans="1:21" s="35" customFormat="1" ht="37.5">
      <c r="A22" s="74">
        <v>14</v>
      </c>
      <c r="B22" s="16" t="s">
        <v>529</v>
      </c>
      <c r="C22" s="8" t="s">
        <v>110</v>
      </c>
      <c r="D22" s="8"/>
      <c r="E22" s="17">
        <v>35000</v>
      </c>
      <c r="F22" s="29">
        <f>35000-10110</f>
        <v>24890</v>
      </c>
      <c r="G22" s="15" t="s">
        <v>424</v>
      </c>
      <c r="H22" s="8"/>
      <c r="I22" s="8"/>
      <c r="J22" s="8"/>
      <c r="K22" s="8"/>
      <c r="L22" s="8" t="s">
        <v>125</v>
      </c>
      <c r="M22" s="29">
        <f>+รายการ!S17</f>
        <v>24890</v>
      </c>
      <c r="N22" s="29">
        <f>F22-M22</f>
        <v>0</v>
      </c>
      <c r="O22" s="76"/>
      <c r="P22" s="19"/>
      <c r="Q22" s="65"/>
      <c r="R22" s="65"/>
      <c r="S22" s="65"/>
      <c r="T22" s="65"/>
      <c r="U22" s="65"/>
    </row>
    <row r="23" spans="1:21" s="35" customFormat="1" ht="47.25">
      <c r="A23" s="74">
        <v>15</v>
      </c>
      <c r="B23" s="16" t="s">
        <v>530</v>
      </c>
      <c r="C23" s="8" t="s">
        <v>110</v>
      </c>
      <c r="D23" s="8"/>
      <c r="E23" s="17">
        <v>50000</v>
      </c>
      <c r="F23" s="29">
        <f>50000-50000</f>
        <v>0</v>
      </c>
      <c r="G23" s="15" t="s">
        <v>424</v>
      </c>
      <c r="H23" s="8"/>
      <c r="I23" s="8"/>
      <c r="J23" s="8"/>
      <c r="K23" s="8"/>
      <c r="L23" s="8"/>
      <c r="M23" s="29">
        <f>+รายการ!H17</f>
        <v>0</v>
      </c>
      <c r="N23" s="29">
        <f>F23-M23</f>
        <v>0</v>
      </c>
      <c r="O23" s="76"/>
      <c r="P23" s="14" t="s">
        <v>398</v>
      </c>
      <c r="Q23" s="65"/>
      <c r="R23" s="65"/>
      <c r="S23" s="65"/>
      <c r="T23" s="65"/>
      <c r="U23" s="65"/>
    </row>
    <row r="24" spans="1:21" s="35" customFormat="1" ht="56.25">
      <c r="A24" s="74">
        <v>16</v>
      </c>
      <c r="B24" s="16" t="s">
        <v>441</v>
      </c>
      <c r="C24" s="8" t="s">
        <v>110</v>
      </c>
      <c r="D24" s="8"/>
      <c r="E24" s="17">
        <v>15000</v>
      </c>
      <c r="F24" s="29"/>
      <c r="G24" s="15" t="s">
        <v>424</v>
      </c>
      <c r="H24" s="8"/>
      <c r="I24" s="8"/>
      <c r="J24" s="8"/>
      <c r="K24" s="8"/>
      <c r="L24" s="8" t="s">
        <v>125</v>
      </c>
      <c r="M24" s="29">
        <f>+รายการ!I18</f>
        <v>15000</v>
      </c>
      <c r="N24" s="29">
        <f t="shared" ref="N24:N30" si="1">E24-M24</f>
        <v>0</v>
      </c>
      <c r="O24" s="76"/>
      <c r="P24" s="19"/>
      <c r="Q24" s="65"/>
      <c r="R24" s="65"/>
      <c r="S24" s="65"/>
      <c r="T24" s="65"/>
      <c r="U24" s="65"/>
    </row>
    <row r="25" spans="1:21" s="35" customFormat="1" ht="56.25">
      <c r="A25" s="74">
        <v>17</v>
      </c>
      <c r="B25" s="16" t="s">
        <v>442</v>
      </c>
      <c r="C25" s="8" t="s">
        <v>110</v>
      </c>
      <c r="D25" s="8"/>
      <c r="E25" s="17">
        <v>30000</v>
      </c>
      <c r="F25" s="29">
        <f>30000-30000</f>
        <v>0</v>
      </c>
      <c r="G25" s="15" t="s">
        <v>424</v>
      </c>
      <c r="H25" s="8"/>
      <c r="I25" s="8"/>
      <c r="J25" s="8"/>
      <c r="K25" s="8"/>
      <c r="L25" s="8"/>
      <c r="M25" s="29">
        <f>+F25</f>
        <v>0</v>
      </c>
      <c r="N25" s="29">
        <f>F25-M25</f>
        <v>0</v>
      </c>
      <c r="O25" s="76"/>
      <c r="P25" s="14" t="s">
        <v>398</v>
      </c>
      <c r="Q25" s="65"/>
      <c r="R25" s="65"/>
      <c r="S25" s="65"/>
      <c r="T25" s="65"/>
      <c r="U25" s="65"/>
    </row>
    <row r="26" spans="1:21" s="35" customFormat="1" ht="37.5">
      <c r="A26" s="74">
        <v>18</v>
      </c>
      <c r="B26" s="16" t="s">
        <v>531</v>
      </c>
      <c r="C26" s="8" t="s">
        <v>110</v>
      </c>
      <c r="D26" s="8"/>
      <c r="E26" s="17">
        <v>95000</v>
      </c>
      <c r="F26" s="29">
        <f>95000-76300</f>
        <v>18700</v>
      </c>
      <c r="G26" s="15" t="s">
        <v>424</v>
      </c>
      <c r="H26" s="8"/>
      <c r="I26" s="8"/>
      <c r="J26" s="8"/>
      <c r="K26" s="8"/>
      <c r="L26" s="8" t="s">
        <v>125</v>
      </c>
      <c r="M26" s="29">
        <f>+รายการ!N20</f>
        <v>18700</v>
      </c>
      <c r="N26" s="29">
        <f>F26-M26</f>
        <v>0</v>
      </c>
      <c r="O26" s="76"/>
      <c r="P26" s="19"/>
      <c r="Q26" s="65"/>
      <c r="R26" s="65"/>
      <c r="S26" s="65"/>
      <c r="T26" s="65"/>
      <c r="U26" s="65"/>
    </row>
    <row r="27" spans="1:21" s="35" customFormat="1" ht="47.25">
      <c r="A27" s="74">
        <v>19</v>
      </c>
      <c r="B27" s="16" t="s">
        <v>489</v>
      </c>
      <c r="C27" s="8" t="s">
        <v>110</v>
      </c>
      <c r="D27" s="8"/>
      <c r="E27" s="17">
        <v>20000</v>
      </c>
      <c r="F27" s="29">
        <f>20000-20000</f>
        <v>0</v>
      </c>
      <c r="G27" s="15" t="s">
        <v>424</v>
      </c>
      <c r="H27" s="8"/>
      <c r="I27" s="8"/>
      <c r="J27" s="8"/>
      <c r="K27" s="8"/>
      <c r="L27" s="8"/>
      <c r="M27" s="29">
        <f>+รายการ!I21</f>
        <v>0</v>
      </c>
      <c r="N27" s="29">
        <f>F27-M27</f>
        <v>0</v>
      </c>
      <c r="O27" s="76"/>
      <c r="P27" s="14" t="s">
        <v>398</v>
      </c>
      <c r="Q27" s="65"/>
      <c r="R27" s="65"/>
      <c r="S27" s="65"/>
      <c r="T27" s="65"/>
      <c r="U27" s="65"/>
    </row>
    <row r="28" spans="1:21" s="35" customFormat="1" ht="37.5">
      <c r="A28" s="74">
        <v>20</v>
      </c>
      <c r="B28" s="16" t="s">
        <v>445</v>
      </c>
      <c r="C28" s="8" t="s">
        <v>110</v>
      </c>
      <c r="D28" s="8"/>
      <c r="E28" s="17">
        <v>17000</v>
      </c>
      <c r="F28" s="29"/>
      <c r="G28" s="15" t="s">
        <v>424</v>
      </c>
      <c r="H28" s="8"/>
      <c r="I28" s="8"/>
      <c r="J28" s="8"/>
      <c r="K28" s="8"/>
      <c r="L28" s="8" t="s">
        <v>125</v>
      </c>
      <c r="M28" s="29">
        <f>+รายการ!N22</f>
        <v>16799</v>
      </c>
      <c r="N28" s="29">
        <f t="shared" si="1"/>
        <v>201</v>
      </c>
      <c r="O28" s="76"/>
      <c r="P28" s="19"/>
      <c r="Q28" s="65"/>
      <c r="R28" s="65"/>
      <c r="S28" s="65"/>
      <c r="T28" s="65"/>
      <c r="U28" s="65"/>
    </row>
    <row r="29" spans="1:21" s="35" customFormat="1" ht="37.5">
      <c r="A29" s="74">
        <v>21</v>
      </c>
      <c r="B29" s="16" t="s">
        <v>532</v>
      </c>
      <c r="C29" s="8" t="s">
        <v>110</v>
      </c>
      <c r="D29" s="8"/>
      <c r="E29" s="17">
        <v>60000</v>
      </c>
      <c r="F29" s="29"/>
      <c r="G29" s="15" t="s">
        <v>424</v>
      </c>
      <c r="H29" s="8"/>
      <c r="I29" s="8"/>
      <c r="J29" s="8"/>
      <c r="K29" s="8"/>
      <c r="L29" s="8" t="s">
        <v>125</v>
      </c>
      <c r="M29" s="29">
        <v>60000</v>
      </c>
      <c r="N29" s="29">
        <f t="shared" si="1"/>
        <v>0</v>
      </c>
      <c r="O29" s="76"/>
      <c r="P29" s="19"/>
      <c r="Q29" s="65"/>
      <c r="R29" s="65"/>
      <c r="S29" s="65"/>
      <c r="T29" s="65"/>
      <c r="U29" s="65"/>
    </row>
    <row r="30" spans="1:21" s="35" customFormat="1" ht="37.5">
      <c r="A30" s="74">
        <v>22</v>
      </c>
      <c r="B30" s="16" t="s">
        <v>533</v>
      </c>
      <c r="C30" s="8" t="s">
        <v>110</v>
      </c>
      <c r="D30" s="8"/>
      <c r="E30" s="17">
        <v>30000</v>
      </c>
      <c r="F30" s="29"/>
      <c r="G30" s="15" t="s">
        <v>424</v>
      </c>
      <c r="H30" s="8"/>
      <c r="I30" s="8"/>
      <c r="J30" s="8"/>
      <c r="K30" s="8"/>
      <c r="L30" s="8" t="s">
        <v>125</v>
      </c>
      <c r="M30" s="29">
        <v>30000</v>
      </c>
      <c r="N30" s="29">
        <f t="shared" si="1"/>
        <v>0</v>
      </c>
      <c r="O30" s="76"/>
      <c r="P30" s="19"/>
      <c r="Q30" s="65"/>
      <c r="R30" s="65"/>
      <c r="S30" s="65"/>
      <c r="T30" s="65"/>
      <c r="U30" s="65"/>
    </row>
    <row r="31" spans="1:21" s="35" customFormat="1" ht="56.25">
      <c r="A31" s="74">
        <v>23</v>
      </c>
      <c r="B31" s="16" t="s">
        <v>540</v>
      </c>
      <c r="C31" s="8" t="s">
        <v>110</v>
      </c>
      <c r="D31" s="8"/>
      <c r="E31" s="17">
        <v>150000</v>
      </c>
      <c r="F31" s="29">
        <f>150000-75000+30489.9</f>
        <v>105489.9</v>
      </c>
      <c r="G31" s="15" t="s">
        <v>424</v>
      </c>
      <c r="H31" s="8"/>
      <c r="I31" s="8"/>
      <c r="J31" s="8"/>
      <c r="K31" s="8"/>
      <c r="L31" s="8" t="s">
        <v>125</v>
      </c>
      <c r="M31" s="29">
        <f>+รายการ!S25</f>
        <v>42710.1</v>
      </c>
      <c r="N31" s="29">
        <f t="shared" ref="N31:N39" si="2">F31-M31</f>
        <v>62779.799999999996</v>
      </c>
      <c r="O31" s="76"/>
      <c r="P31" s="19"/>
      <c r="Q31" s="65"/>
      <c r="R31" s="65"/>
      <c r="S31" s="65"/>
      <c r="T31" s="65"/>
      <c r="U31" s="65"/>
    </row>
    <row r="32" spans="1:21" s="35" customFormat="1" ht="37.5">
      <c r="A32" s="74">
        <v>24</v>
      </c>
      <c r="B32" s="16" t="s">
        <v>541</v>
      </c>
      <c r="C32" s="8" t="s">
        <v>110</v>
      </c>
      <c r="D32" s="8"/>
      <c r="E32" s="17">
        <v>20000</v>
      </c>
      <c r="F32" s="29">
        <f>20000+14000+26000+14600+13340</f>
        <v>87940</v>
      </c>
      <c r="G32" s="15" t="s">
        <v>424</v>
      </c>
      <c r="H32" s="8"/>
      <c r="I32" s="8"/>
      <c r="J32" s="8"/>
      <c r="K32" s="8"/>
      <c r="L32" s="8" t="s">
        <v>125</v>
      </c>
      <c r="M32" s="29">
        <f>+รายการ!N26</f>
        <v>87940</v>
      </c>
      <c r="N32" s="29">
        <f t="shared" si="2"/>
        <v>0</v>
      </c>
      <c r="O32" s="76"/>
      <c r="P32" s="19"/>
      <c r="Q32" s="65"/>
      <c r="R32" s="65"/>
      <c r="S32" s="65"/>
      <c r="T32" s="65"/>
      <c r="U32" s="65"/>
    </row>
    <row r="33" spans="1:21" s="35" customFormat="1" ht="37.5">
      <c r="A33" s="74">
        <v>25</v>
      </c>
      <c r="B33" s="16" t="s">
        <v>542</v>
      </c>
      <c r="C33" s="8" t="s">
        <v>110</v>
      </c>
      <c r="D33" s="8"/>
      <c r="E33" s="17">
        <v>30000</v>
      </c>
      <c r="F33" s="29">
        <f>30000-22040</f>
        <v>7960</v>
      </c>
      <c r="G33" s="15" t="s">
        <v>424</v>
      </c>
      <c r="H33" s="8"/>
      <c r="I33" s="8"/>
      <c r="J33" s="8"/>
      <c r="K33" s="8"/>
      <c r="L33" s="8" t="s">
        <v>125</v>
      </c>
      <c r="M33" s="29">
        <f>+รายการ!I27</f>
        <v>7960</v>
      </c>
      <c r="N33" s="29">
        <f t="shared" si="2"/>
        <v>0</v>
      </c>
      <c r="O33" s="76"/>
      <c r="P33" s="19"/>
      <c r="Q33" s="65"/>
      <c r="R33" s="65"/>
      <c r="S33" s="65"/>
      <c r="T33" s="65"/>
      <c r="U33" s="65"/>
    </row>
    <row r="34" spans="1:21" s="35" customFormat="1">
      <c r="A34" s="74">
        <v>26</v>
      </c>
      <c r="B34" s="16" t="s">
        <v>228</v>
      </c>
      <c r="C34" s="8" t="s">
        <v>110</v>
      </c>
      <c r="D34" s="8"/>
      <c r="E34" s="17">
        <v>200000</v>
      </c>
      <c r="F34" s="29">
        <f>200000-60000-90000</f>
        <v>50000</v>
      </c>
      <c r="G34" s="15" t="s">
        <v>424</v>
      </c>
      <c r="H34" s="8"/>
      <c r="I34" s="8"/>
      <c r="J34" s="8"/>
      <c r="K34" s="8"/>
      <c r="L34" s="8" t="s">
        <v>125</v>
      </c>
      <c r="M34" s="29">
        <f>+รายการ!N28</f>
        <v>45420</v>
      </c>
      <c r="N34" s="29">
        <f t="shared" si="2"/>
        <v>4580</v>
      </c>
      <c r="O34" s="76"/>
      <c r="P34" s="19"/>
      <c r="Q34" s="65"/>
      <c r="R34" s="65"/>
      <c r="S34" s="65"/>
      <c r="T34" s="65"/>
      <c r="U34" s="65"/>
    </row>
    <row r="35" spans="1:21" s="35" customFormat="1">
      <c r="A35" s="74">
        <v>27</v>
      </c>
      <c r="B35" s="16" t="s">
        <v>457</v>
      </c>
      <c r="C35" s="8" t="s">
        <v>110</v>
      </c>
      <c r="D35" s="8"/>
      <c r="E35" s="17">
        <v>59000</v>
      </c>
      <c r="F35" s="29"/>
      <c r="G35" s="15" t="s">
        <v>424</v>
      </c>
      <c r="H35" s="8"/>
      <c r="I35" s="8"/>
      <c r="J35" s="8"/>
      <c r="K35" s="8"/>
      <c r="L35" s="8" t="s">
        <v>125</v>
      </c>
      <c r="M35" s="29">
        <f>+รายการ!M29</f>
        <v>59000</v>
      </c>
      <c r="N35" s="29">
        <f>E35-M35</f>
        <v>0</v>
      </c>
      <c r="O35" s="76"/>
      <c r="P35" s="19"/>
      <c r="Q35" s="65"/>
      <c r="R35" s="65"/>
      <c r="S35" s="65"/>
      <c r="T35" s="65"/>
      <c r="U35" s="65"/>
    </row>
    <row r="36" spans="1:21" s="35" customFormat="1" ht="37.5">
      <c r="A36" s="74">
        <v>28</v>
      </c>
      <c r="B36" s="16" t="s">
        <v>545</v>
      </c>
      <c r="C36" s="8" t="s">
        <v>110</v>
      </c>
      <c r="D36" s="8"/>
      <c r="E36" s="17">
        <v>50000</v>
      </c>
      <c r="F36" s="29">
        <f>50000-30000</f>
        <v>20000</v>
      </c>
      <c r="G36" s="15" t="s">
        <v>424</v>
      </c>
      <c r="H36" s="8"/>
      <c r="I36" s="8"/>
      <c r="J36" s="8"/>
      <c r="K36" s="8"/>
      <c r="L36" s="8" t="s">
        <v>125</v>
      </c>
      <c r="M36" s="29">
        <f>+รายการ!N30</f>
        <v>19950</v>
      </c>
      <c r="N36" s="29">
        <f t="shared" si="2"/>
        <v>50</v>
      </c>
      <c r="O36" s="76"/>
      <c r="P36" s="19"/>
      <c r="Q36" s="65"/>
      <c r="R36" s="65"/>
      <c r="S36" s="65"/>
      <c r="T36" s="65"/>
      <c r="U36" s="65"/>
    </row>
    <row r="37" spans="1:21" s="35" customFormat="1" ht="37.5">
      <c r="A37" s="74">
        <v>29</v>
      </c>
      <c r="B37" s="16" t="s">
        <v>546</v>
      </c>
      <c r="C37" s="8" t="s">
        <v>110</v>
      </c>
      <c r="D37" s="8"/>
      <c r="E37" s="17">
        <v>500000</v>
      </c>
      <c r="F37" s="29">
        <f>500000-800</f>
        <v>499200</v>
      </c>
      <c r="G37" s="15" t="s">
        <v>424</v>
      </c>
      <c r="H37" s="8"/>
      <c r="I37" s="8"/>
      <c r="J37" s="8"/>
      <c r="K37" s="8"/>
      <c r="L37" s="8" t="s">
        <v>125</v>
      </c>
      <c r="M37" s="29">
        <f>+รายการ!I31</f>
        <v>499200</v>
      </c>
      <c r="N37" s="29">
        <f t="shared" si="2"/>
        <v>0</v>
      </c>
      <c r="O37" s="76"/>
      <c r="P37" s="19"/>
      <c r="Q37" s="65"/>
      <c r="R37" s="65"/>
      <c r="S37" s="65"/>
      <c r="T37" s="65"/>
      <c r="U37" s="65"/>
    </row>
    <row r="38" spans="1:21" s="35" customFormat="1" ht="37.5">
      <c r="A38" s="74">
        <v>30</v>
      </c>
      <c r="B38" s="16" t="s">
        <v>547</v>
      </c>
      <c r="C38" s="8" t="s">
        <v>110</v>
      </c>
      <c r="D38" s="8"/>
      <c r="E38" s="17">
        <v>600000</v>
      </c>
      <c r="F38" s="29">
        <f>600000+100000+30700-80000</f>
        <v>650700</v>
      </c>
      <c r="G38" s="15" t="s">
        <v>424</v>
      </c>
      <c r="H38" s="8"/>
      <c r="I38" s="8"/>
      <c r="J38" s="8"/>
      <c r="K38" s="8"/>
      <c r="L38" s="8" t="s">
        <v>125</v>
      </c>
      <c r="M38" s="29">
        <f>+รายการ!N32</f>
        <v>650700</v>
      </c>
      <c r="N38" s="29">
        <f t="shared" si="2"/>
        <v>0</v>
      </c>
      <c r="O38" s="76"/>
      <c r="P38" s="19"/>
      <c r="Q38" s="65"/>
      <c r="R38" s="65"/>
      <c r="S38" s="65"/>
      <c r="T38" s="65"/>
      <c r="U38" s="65"/>
    </row>
    <row r="39" spans="1:21" s="35" customFormat="1">
      <c r="A39" s="74">
        <v>31</v>
      </c>
      <c r="B39" s="16" t="s">
        <v>169</v>
      </c>
      <c r="C39" s="8" t="s">
        <v>110</v>
      </c>
      <c r="D39" s="8"/>
      <c r="E39" s="17">
        <v>394590</v>
      </c>
      <c r="F39" s="29">
        <f>394590+200000+40000+500000+176360+323640+15000+7000+70000+42000+500000+100000+10000+9000+6600+10+4200+22040+800+60000+42000+28000+200000+40000+1400+2100+150000+10000+50+3900+15000+500+2800+3400+6500+16500+1900+54000+350+500+900+75000+90000+50000+30000+274000+32000+53000-833900+23500+10000+90000+70000+20000+30000+150000+6500+38000+50000+8000+5100+5400+11000+5000+42500+23000+1079800</f>
        <v>4498940</v>
      </c>
      <c r="G39" s="8" t="s">
        <v>424</v>
      </c>
      <c r="H39" s="8"/>
      <c r="I39" s="8"/>
      <c r="J39" s="8"/>
      <c r="K39" s="8"/>
      <c r="L39" s="8" t="s">
        <v>125</v>
      </c>
      <c r="M39" s="29">
        <f>+รายการ!S33</f>
        <v>4450261</v>
      </c>
      <c r="N39" s="29">
        <f t="shared" si="2"/>
        <v>48679</v>
      </c>
      <c r="O39" s="76"/>
      <c r="P39" s="19"/>
      <c r="Q39" s="65"/>
      <c r="R39" s="65"/>
      <c r="S39" s="65"/>
      <c r="T39" s="65"/>
      <c r="U39" s="65"/>
    </row>
    <row r="40" spans="1:21" s="35" customFormat="1">
      <c r="A40" s="74"/>
      <c r="B40" s="75" t="s">
        <v>350</v>
      </c>
      <c r="C40" s="8"/>
      <c r="D40" s="8"/>
      <c r="E40" s="29"/>
      <c r="F40" s="29"/>
      <c r="G40" s="8"/>
      <c r="H40" s="8"/>
      <c r="I40" s="8"/>
      <c r="J40" s="8"/>
      <c r="K40" s="8"/>
      <c r="L40" s="8"/>
      <c r="M40" s="29"/>
      <c r="N40" s="29"/>
      <c r="O40" s="76"/>
      <c r="P40" s="19"/>
      <c r="Q40" s="65"/>
      <c r="R40" s="65"/>
      <c r="S40" s="65"/>
      <c r="T40" s="65"/>
      <c r="U40" s="65"/>
    </row>
    <row r="41" spans="1:21" s="35" customFormat="1">
      <c r="A41" s="74">
        <v>32</v>
      </c>
      <c r="B41" s="16" t="s">
        <v>227</v>
      </c>
      <c r="C41" s="8" t="s">
        <v>350</v>
      </c>
      <c r="D41" s="8"/>
      <c r="E41" s="18">
        <v>10000</v>
      </c>
      <c r="F41" s="29"/>
      <c r="G41" s="8" t="s">
        <v>424</v>
      </c>
      <c r="H41" s="8"/>
      <c r="I41" s="8"/>
      <c r="J41" s="8"/>
      <c r="K41" s="8"/>
      <c r="L41" s="8" t="s">
        <v>125</v>
      </c>
      <c r="M41" s="29">
        <v>5570</v>
      </c>
      <c r="N41" s="29">
        <f>E41-M41</f>
        <v>4430</v>
      </c>
      <c r="O41" s="76"/>
      <c r="P41" s="19"/>
      <c r="Q41" s="65"/>
      <c r="R41" s="65"/>
      <c r="S41" s="65"/>
      <c r="T41" s="65"/>
      <c r="U41" s="65"/>
    </row>
    <row r="42" spans="1:21" s="35" customFormat="1" ht="37.5">
      <c r="A42" s="74">
        <v>33</v>
      </c>
      <c r="B42" s="16" t="s">
        <v>525</v>
      </c>
      <c r="C42" s="8" t="s">
        <v>350</v>
      </c>
      <c r="D42" s="8"/>
      <c r="E42" s="17">
        <v>100000</v>
      </c>
      <c r="F42" s="29">
        <f>100000-28000</f>
        <v>72000</v>
      </c>
      <c r="G42" s="8" t="s">
        <v>424</v>
      </c>
      <c r="H42" s="8"/>
      <c r="I42" s="8"/>
      <c r="J42" s="8"/>
      <c r="K42" s="8"/>
      <c r="L42" s="8" t="s">
        <v>125</v>
      </c>
      <c r="M42" s="29">
        <f>+รายการ!N36</f>
        <v>72000</v>
      </c>
      <c r="N42" s="29">
        <f t="shared" ref="N42:N49" si="3">F42-M42</f>
        <v>0</v>
      </c>
      <c r="O42" s="76"/>
      <c r="P42" s="19"/>
      <c r="Q42" s="65"/>
      <c r="R42" s="65"/>
      <c r="S42" s="65"/>
      <c r="T42" s="65"/>
      <c r="U42" s="65"/>
    </row>
    <row r="43" spans="1:21" s="35" customFormat="1" ht="37.5">
      <c r="A43" s="74">
        <v>34</v>
      </c>
      <c r="B43" s="16" t="s">
        <v>526</v>
      </c>
      <c r="C43" s="8" t="s">
        <v>350</v>
      </c>
      <c r="D43" s="8"/>
      <c r="E43" s="17">
        <v>263400</v>
      </c>
      <c r="F43" s="29">
        <f>263400-200000+2000-13052.3</f>
        <v>52347.7</v>
      </c>
      <c r="G43" s="8" t="s">
        <v>424</v>
      </c>
      <c r="H43" s="8"/>
      <c r="I43" s="8"/>
      <c r="J43" s="8"/>
      <c r="K43" s="8"/>
      <c r="L43" s="8" t="s">
        <v>125</v>
      </c>
      <c r="M43" s="29">
        <f>+รายการ!S37</f>
        <v>52347.7</v>
      </c>
      <c r="N43" s="29">
        <f t="shared" si="3"/>
        <v>0</v>
      </c>
      <c r="O43" s="76"/>
      <c r="P43" s="19"/>
      <c r="Q43" s="65"/>
      <c r="R43" s="65"/>
      <c r="S43" s="65"/>
      <c r="T43" s="65"/>
      <c r="U43" s="65"/>
    </row>
    <row r="44" spans="1:21" s="35" customFormat="1" ht="37.5">
      <c r="A44" s="74">
        <v>35</v>
      </c>
      <c r="B44" s="16" t="s">
        <v>435</v>
      </c>
      <c r="C44" s="8" t="s">
        <v>350</v>
      </c>
      <c r="D44" s="8"/>
      <c r="E44" s="17">
        <v>130000</v>
      </c>
      <c r="F44" s="29">
        <f>130000-30700-14600-17500-3972-42500+11646.54+1705.76</f>
        <v>34080.300000000003</v>
      </c>
      <c r="G44" s="15" t="s">
        <v>424</v>
      </c>
      <c r="H44" s="8"/>
      <c r="I44" s="8"/>
      <c r="J44" s="8"/>
      <c r="K44" s="8"/>
      <c r="L44" s="8" t="s">
        <v>125</v>
      </c>
      <c r="M44" s="29">
        <f>+รายการ!S38</f>
        <v>33227.42</v>
      </c>
      <c r="N44" s="29">
        <f t="shared" si="3"/>
        <v>852.88000000000466</v>
      </c>
      <c r="O44" s="76"/>
      <c r="P44" s="19"/>
      <c r="Q44" s="65"/>
      <c r="R44" s="65"/>
      <c r="S44" s="65"/>
      <c r="T44" s="65"/>
      <c r="U44" s="65"/>
    </row>
    <row r="45" spans="1:21" s="35" customFormat="1">
      <c r="A45" s="74">
        <v>36</v>
      </c>
      <c r="B45" s="16" t="s">
        <v>101</v>
      </c>
      <c r="C45" s="8" t="s">
        <v>350</v>
      </c>
      <c r="D45" s="8"/>
      <c r="E45" s="17">
        <v>100000</v>
      </c>
      <c r="F45" s="29">
        <f>100000+69215+60000+20000+60110</f>
        <v>309325</v>
      </c>
      <c r="G45" s="8" t="s">
        <v>424</v>
      </c>
      <c r="H45" s="8"/>
      <c r="I45" s="8"/>
      <c r="J45" s="8"/>
      <c r="K45" s="8"/>
      <c r="L45" s="8" t="s">
        <v>125</v>
      </c>
      <c r="M45" s="29">
        <f>+รายการ!S39+30948</f>
        <v>303231.90000000002</v>
      </c>
      <c r="N45" s="29">
        <f t="shared" si="3"/>
        <v>6093.0999999999767</v>
      </c>
      <c r="O45" s="76"/>
      <c r="P45" s="19"/>
      <c r="Q45" s="65"/>
      <c r="R45" s="65"/>
      <c r="S45" s="65"/>
      <c r="T45" s="65"/>
      <c r="U45" s="65"/>
    </row>
    <row r="46" spans="1:21" s="35" customFormat="1">
      <c r="A46" s="74">
        <v>37</v>
      </c>
      <c r="B46" s="16" t="s">
        <v>98</v>
      </c>
      <c r="C46" s="8" t="s">
        <v>350</v>
      </c>
      <c r="D46" s="8"/>
      <c r="E46" s="17">
        <v>247000</v>
      </c>
      <c r="F46" s="29">
        <f>247000-53000-23500-41142.44</f>
        <v>129357.56</v>
      </c>
      <c r="G46" s="8" t="s">
        <v>424</v>
      </c>
      <c r="H46" s="8"/>
      <c r="I46" s="8"/>
      <c r="J46" s="8"/>
      <c r="K46" s="8"/>
      <c r="L46" s="8" t="s">
        <v>125</v>
      </c>
      <c r="M46" s="29">
        <f>+รายการ!S40</f>
        <v>129356.8</v>
      </c>
      <c r="N46" s="29">
        <f t="shared" si="3"/>
        <v>0.75999999999476131</v>
      </c>
      <c r="O46" s="76"/>
      <c r="P46" s="19"/>
      <c r="Q46" s="65"/>
      <c r="R46" s="65"/>
      <c r="S46" s="65"/>
      <c r="T46" s="65"/>
      <c r="U46" s="65"/>
    </row>
    <row r="47" spans="1:21" s="35" customFormat="1">
      <c r="A47" s="74">
        <v>38</v>
      </c>
      <c r="B47" s="16" t="s">
        <v>99</v>
      </c>
      <c r="C47" s="8" t="s">
        <v>350</v>
      </c>
      <c r="D47" s="8"/>
      <c r="E47" s="17">
        <v>50000</v>
      </c>
      <c r="F47" s="29">
        <f>50000-40000</f>
        <v>10000</v>
      </c>
      <c r="G47" s="8" t="s">
        <v>424</v>
      </c>
      <c r="H47" s="8"/>
      <c r="I47" s="8"/>
      <c r="J47" s="8"/>
      <c r="K47" s="8"/>
      <c r="L47" s="8" t="s">
        <v>125</v>
      </c>
      <c r="M47" s="29">
        <f>+รายการ!S41</f>
        <v>8660</v>
      </c>
      <c r="N47" s="29">
        <f t="shared" si="3"/>
        <v>1340</v>
      </c>
      <c r="O47" s="76"/>
      <c r="P47" s="19"/>
      <c r="Q47" s="65"/>
      <c r="R47" s="65"/>
      <c r="S47" s="65"/>
      <c r="T47" s="65"/>
      <c r="U47" s="65"/>
    </row>
    <row r="48" spans="1:21" s="35" customFormat="1" ht="56.25">
      <c r="A48" s="74">
        <v>39</v>
      </c>
      <c r="B48" s="16" t="s">
        <v>430</v>
      </c>
      <c r="C48" s="8" t="s">
        <v>350</v>
      </c>
      <c r="D48" s="8"/>
      <c r="E48" s="17">
        <v>16000</v>
      </c>
      <c r="F48" s="29">
        <f>16000-400</f>
        <v>15600</v>
      </c>
      <c r="G48" s="8" t="s">
        <v>424</v>
      </c>
      <c r="H48" s="8"/>
      <c r="I48" s="8"/>
      <c r="J48" s="8"/>
      <c r="K48" s="8"/>
      <c r="L48" s="8" t="s">
        <v>125</v>
      </c>
      <c r="M48" s="29">
        <v>15600</v>
      </c>
      <c r="N48" s="29">
        <f t="shared" si="3"/>
        <v>0</v>
      </c>
      <c r="O48" s="76"/>
      <c r="P48" s="19"/>
      <c r="Q48" s="65"/>
      <c r="R48" s="65"/>
      <c r="S48" s="65"/>
      <c r="T48" s="65"/>
      <c r="U48" s="65"/>
    </row>
    <row r="49" spans="1:21" s="35" customFormat="1" ht="37.5">
      <c r="A49" s="74">
        <v>40</v>
      </c>
      <c r="B49" s="16" t="s">
        <v>524</v>
      </c>
      <c r="C49" s="8" t="s">
        <v>350</v>
      </c>
      <c r="D49" s="8"/>
      <c r="E49" s="17">
        <v>3200</v>
      </c>
      <c r="F49" s="29">
        <f>3200-1000</f>
        <v>2200</v>
      </c>
      <c r="G49" s="15" t="s">
        <v>424</v>
      </c>
      <c r="H49" s="8"/>
      <c r="I49" s="8"/>
      <c r="J49" s="8"/>
      <c r="K49" s="8"/>
      <c r="L49" s="8" t="s">
        <v>125</v>
      </c>
      <c r="M49" s="29">
        <v>2200</v>
      </c>
      <c r="N49" s="29">
        <f t="shared" si="3"/>
        <v>0</v>
      </c>
      <c r="O49" s="76"/>
      <c r="P49" s="19"/>
      <c r="Q49" s="65"/>
      <c r="R49" s="65"/>
      <c r="S49" s="65"/>
      <c r="T49" s="65"/>
      <c r="U49" s="65"/>
    </row>
    <row r="50" spans="1:21" s="35" customFormat="1" ht="37.5">
      <c r="A50" s="74">
        <v>41</v>
      </c>
      <c r="B50" s="16" t="s">
        <v>527</v>
      </c>
      <c r="C50" s="8" t="s">
        <v>350</v>
      </c>
      <c r="D50" s="8"/>
      <c r="E50" s="17">
        <v>4300</v>
      </c>
      <c r="F50" s="29"/>
      <c r="G50" s="15" t="s">
        <v>424</v>
      </c>
      <c r="H50" s="8"/>
      <c r="I50" s="8"/>
      <c r="J50" s="8"/>
      <c r="K50" s="8"/>
      <c r="L50" s="8" t="s">
        <v>125</v>
      </c>
      <c r="M50" s="29">
        <v>4300</v>
      </c>
      <c r="N50" s="29">
        <f>E50-M50</f>
        <v>0</v>
      </c>
      <c r="O50" s="76"/>
      <c r="P50" s="19"/>
      <c r="Q50" s="65"/>
      <c r="R50" s="65"/>
      <c r="S50" s="65"/>
      <c r="T50" s="65"/>
      <c r="U50" s="65"/>
    </row>
    <row r="51" spans="1:21" s="35" customFormat="1">
      <c r="A51" s="74">
        <v>42</v>
      </c>
      <c r="B51" s="16" t="s">
        <v>528</v>
      </c>
      <c r="C51" s="8" t="s">
        <v>350</v>
      </c>
      <c r="D51" s="8"/>
      <c r="E51" s="17">
        <v>50000</v>
      </c>
      <c r="F51" s="29">
        <f>50000-2100</f>
        <v>47900</v>
      </c>
      <c r="G51" s="15" t="s">
        <v>424</v>
      </c>
      <c r="H51" s="8"/>
      <c r="I51" s="8"/>
      <c r="J51" s="8"/>
      <c r="K51" s="8"/>
      <c r="L51" s="8" t="s">
        <v>125</v>
      </c>
      <c r="M51" s="29">
        <v>47900</v>
      </c>
      <c r="N51" s="29">
        <f>F51-M51</f>
        <v>0</v>
      </c>
      <c r="O51" s="76"/>
      <c r="P51" s="19"/>
      <c r="Q51" s="65"/>
      <c r="R51" s="65"/>
      <c r="S51" s="65"/>
      <c r="T51" s="65"/>
      <c r="U51" s="65"/>
    </row>
    <row r="52" spans="1:21" s="35" customFormat="1">
      <c r="A52" s="74"/>
      <c r="B52" s="75" t="s">
        <v>565</v>
      </c>
      <c r="C52" s="8"/>
      <c r="D52" s="8"/>
      <c r="E52" s="29"/>
      <c r="F52" s="29"/>
      <c r="G52" s="8"/>
      <c r="H52" s="8"/>
      <c r="I52" s="8"/>
      <c r="J52" s="8"/>
      <c r="K52" s="8"/>
      <c r="L52" s="8"/>
      <c r="M52" s="29"/>
      <c r="N52" s="29"/>
      <c r="O52" s="76"/>
      <c r="P52" s="19"/>
      <c r="Q52" s="65"/>
      <c r="R52" s="65"/>
      <c r="S52" s="65"/>
      <c r="T52" s="65"/>
      <c r="U52" s="65"/>
    </row>
    <row r="53" spans="1:21" s="35" customFormat="1" ht="56.25">
      <c r="A53" s="74">
        <v>43</v>
      </c>
      <c r="B53" s="16" t="s">
        <v>389</v>
      </c>
      <c r="C53" s="8" t="s">
        <v>565</v>
      </c>
      <c r="D53" s="8"/>
      <c r="E53" s="17">
        <v>90000</v>
      </c>
      <c r="F53" s="29">
        <f>90000-50</f>
        <v>89950</v>
      </c>
      <c r="G53" s="15" t="s">
        <v>424</v>
      </c>
      <c r="H53" s="8"/>
      <c r="I53" s="8"/>
      <c r="J53" s="8"/>
      <c r="K53" s="8"/>
      <c r="L53" s="8" t="s">
        <v>125</v>
      </c>
      <c r="M53" s="29">
        <f>+รายการ!I48</f>
        <v>89950</v>
      </c>
      <c r="N53" s="29">
        <f>F53-M53</f>
        <v>0</v>
      </c>
      <c r="O53" s="76"/>
      <c r="P53" s="19"/>
      <c r="Q53" s="65"/>
      <c r="R53" s="65"/>
      <c r="S53" s="65"/>
      <c r="T53" s="65"/>
      <c r="U53" s="65"/>
    </row>
    <row r="54" spans="1:21" s="35" customFormat="1" ht="37.5">
      <c r="A54" s="74">
        <v>44</v>
      </c>
      <c r="B54" s="16" t="s">
        <v>367</v>
      </c>
      <c r="C54" s="8" t="s">
        <v>565</v>
      </c>
      <c r="D54" s="8"/>
      <c r="E54" s="17">
        <v>108000</v>
      </c>
      <c r="F54" s="29"/>
      <c r="G54" s="15" t="s">
        <v>424</v>
      </c>
      <c r="H54" s="8"/>
      <c r="I54" s="8"/>
      <c r="J54" s="8"/>
      <c r="K54" s="8"/>
      <c r="L54" s="8" t="s">
        <v>125</v>
      </c>
      <c r="M54" s="29">
        <f>+รายการ!S49</f>
        <v>104800</v>
      </c>
      <c r="N54" s="29">
        <f>E54-M54</f>
        <v>3200</v>
      </c>
      <c r="O54" s="76"/>
      <c r="P54" s="19"/>
      <c r="Q54" s="65"/>
      <c r="R54" s="65"/>
      <c r="S54" s="65"/>
      <c r="T54" s="65"/>
      <c r="U54" s="65"/>
    </row>
    <row r="55" spans="1:21" s="35" customFormat="1" ht="47.25">
      <c r="A55" s="74">
        <v>45</v>
      </c>
      <c r="B55" s="16" t="s">
        <v>151</v>
      </c>
      <c r="C55" s="8" t="s">
        <v>565</v>
      </c>
      <c r="D55" s="8"/>
      <c r="E55" s="17">
        <v>10000</v>
      </c>
      <c r="F55" s="29">
        <f>10000-10000</f>
        <v>0</v>
      </c>
      <c r="G55" s="8" t="s">
        <v>424</v>
      </c>
      <c r="H55" s="8"/>
      <c r="I55" s="8"/>
      <c r="J55" s="8"/>
      <c r="K55" s="8"/>
      <c r="L55" s="8"/>
      <c r="M55" s="29">
        <f>+รายการ!I50</f>
        <v>0</v>
      </c>
      <c r="N55" s="29">
        <f>F55-M55</f>
        <v>0</v>
      </c>
      <c r="O55" s="76"/>
      <c r="P55" s="14" t="s">
        <v>398</v>
      </c>
      <c r="Q55" s="65"/>
      <c r="R55" s="65"/>
      <c r="S55" s="65"/>
      <c r="T55" s="65"/>
      <c r="U55" s="65"/>
    </row>
    <row r="56" spans="1:21" s="35" customFormat="1" ht="56.25">
      <c r="A56" s="74">
        <v>46</v>
      </c>
      <c r="B56" s="16" t="s">
        <v>430</v>
      </c>
      <c r="C56" s="8" t="s">
        <v>565</v>
      </c>
      <c r="D56" s="8"/>
      <c r="E56" s="17">
        <v>32000</v>
      </c>
      <c r="F56" s="29">
        <f>32000-800</f>
        <v>31200</v>
      </c>
      <c r="G56" s="8" t="s">
        <v>424</v>
      </c>
      <c r="H56" s="8"/>
      <c r="I56" s="8"/>
      <c r="J56" s="8"/>
      <c r="K56" s="8"/>
      <c r="L56" s="8" t="s">
        <v>125</v>
      </c>
      <c r="M56" s="29">
        <v>31200</v>
      </c>
      <c r="N56" s="29">
        <f>F56-M56</f>
        <v>0</v>
      </c>
      <c r="O56" s="76"/>
      <c r="P56" s="19"/>
      <c r="Q56" s="65"/>
      <c r="R56" s="65"/>
      <c r="S56" s="65"/>
      <c r="T56" s="65"/>
      <c r="U56" s="65"/>
    </row>
    <row r="57" spans="1:21" s="35" customFormat="1" ht="37.5">
      <c r="A57" s="74">
        <v>47</v>
      </c>
      <c r="B57" s="16" t="s">
        <v>524</v>
      </c>
      <c r="C57" s="8" t="s">
        <v>565</v>
      </c>
      <c r="D57" s="8"/>
      <c r="E57" s="17">
        <v>9600</v>
      </c>
      <c r="F57" s="29">
        <f>9600-3000</f>
        <v>6600</v>
      </c>
      <c r="G57" s="15" t="s">
        <v>424</v>
      </c>
      <c r="H57" s="8"/>
      <c r="I57" s="8"/>
      <c r="J57" s="8"/>
      <c r="K57" s="8"/>
      <c r="L57" s="8" t="s">
        <v>125</v>
      </c>
      <c r="M57" s="29">
        <v>6600</v>
      </c>
      <c r="N57" s="29">
        <f>F57-M57</f>
        <v>0</v>
      </c>
      <c r="O57" s="76"/>
      <c r="P57" s="19"/>
      <c r="Q57" s="65"/>
      <c r="R57" s="65"/>
      <c r="S57" s="65"/>
      <c r="T57" s="65"/>
      <c r="U57" s="65"/>
    </row>
    <row r="58" spans="1:21" s="35" customFormat="1" ht="37.5">
      <c r="A58" s="74">
        <v>48</v>
      </c>
      <c r="B58" s="16" t="s">
        <v>527</v>
      </c>
      <c r="C58" s="8" t="s">
        <v>565</v>
      </c>
      <c r="D58" s="8"/>
      <c r="E58" s="17">
        <v>8600</v>
      </c>
      <c r="F58" s="29"/>
      <c r="G58" s="8" t="s">
        <v>424</v>
      </c>
      <c r="H58" s="8"/>
      <c r="I58" s="8"/>
      <c r="J58" s="8"/>
      <c r="K58" s="8"/>
      <c r="L58" s="8" t="s">
        <v>125</v>
      </c>
      <c r="M58" s="29">
        <v>8600</v>
      </c>
      <c r="N58" s="29">
        <f>E58-M58</f>
        <v>0</v>
      </c>
      <c r="O58" s="76"/>
      <c r="P58" s="19"/>
      <c r="Q58" s="65"/>
      <c r="R58" s="65"/>
      <c r="S58" s="65"/>
      <c r="T58" s="65"/>
      <c r="U58" s="65"/>
    </row>
    <row r="59" spans="1:21" s="35" customFormat="1" ht="37.5">
      <c r="A59" s="74">
        <v>49</v>
      </c>
      <c r="B59" s="16" t="s">
        <v>534</v>
      </c>
      <c r="C59" s="8" t="s">
        <v>417</v>
      </c>
      <c r="D59" s="8"/>
      <c r="E59" s="17">
        <v>16000</v>
      </c>
      <c r="F59" s="29">
        <f>16000-100</f>
        <v>15900</v>
      </c>
      <c r="G59" s="15" t="s">
        <v>424</v>
      </c>
      <c r="H59" s="8"/>
      <c r="I59" s="8"/>
      <c r="J59" s="8"/>
      <c r="K59" s="8"/>
      <c r="L59" s="8" t="s">
        <v>125</v>
      </c>
      <c r="M59" s="29">
        <v>15900</v>
      </c>
      <c r="N59" s="29">
        <f>F59-M59</f>
        <v>0</v>
      </c>
      <c r="O59" s="76"/>
      <c r="P59" s="19"/>
      <c r="Q59" s="65"/>
      <c r="R59" s="65"/>
      <c r="S59" s="65"/>
      <c r="T59" s="65"/>
      <c r="U59" s="65"/>
    </row>
    <row r="60" spans="1:21" s="35" customFormat="1" ht="37.5">
      <c r="A60" s="74">
        <v>50</v>
      </c>
      <c r="B60" s="16" t="s">
        <v>566</v>
      </c>
      <c r="C60" s="8" t="s">
        <v>417</v>
      </c>
      <c r="D60" s="8"/>
      <c r="E60" s="17">
        <v>210000</v>
      </c>
      <c r="F60" s="29">
        <f>210000-38000-101639.84+54240</f>
        <v>124600.16</v>
      </c>
      <c r="G60" s="15" t="s">
        <v>424</v>
      </c>
      <c r="H60" s="8"/>
      <c r="I60" s="8"/>
      <c r="J60" s="8"/>
      <c r="K60" s="8"/>
      <c r="L60" s="8" t="s">
        <v>125</v>
      </c>
      <c r="M60" s="29">
        <f>+รายการ!N55</f>
        <v>124600.16</v>
      </c>
      <c r="N60" s="29">
        <f>F60-M60</f>
        <v>0</v>
      </c>
      <c r="O60" s="76"/>
      <c r="P60" s="19"/>
      <c r="Q60" s="65"/>
      <c r="R60" s="65"/>
      <c r="S60" s="65"/>
      <c r="T60" s="65"/>
      <c r="U60" s="65"/>
    </row>
    <row r="61" spans="1:21" s="35" customFormat="1">
      <c r="A61" s="74">
        <v>51</v>
      </c>
      <c r="B61" s="16" t="s">
        <v>97</v>
      </c>
      <c r="C61" s="8" t="s">
        <v>417</v>
      </c>
      <c r="D61" s="8"/>
      <c r="E61" s="17">
        <v>58000</v>
      </c>
      <c r="F61" s="29"/>
      <c r="G61" s="15" t="s">
        <v>424</v>
      </c>
      <c r="H61" s="8"/>
      <c r="I61" s="8"/>
      <c r="J61" s="8"/>
      <c r="K61" s="8"/>
      <c r="L61" s="8" t="s">
        <v>125</v>
      </c>
      <c r="M61" s="29">
        <f>+รายการ!S56</f>
        <v>57455</v>
      </c>
      <c r="N61" s="29">
        <f>E61-M61</f>
        <v>545</v>
      </c>
      <c r="O61" s="76"/>
      <c r="P61" s="19"/>
      <c r="Q61" s="65"/>
      <c r="R61" s="65"/>
      <c r="S61" s="65"/>
      <c r="T61" s="65"/>
      <c r="U61" s="65"/>
    </row>
    <row r="62" spans="1:21" s="35" customFormat="1">
      <c r="A62" s="74">
        <v>52</v>
      </c>
      <c r="B62" s="16" t="s">
        <v>535</v>
      </c>
      <c r="C62" s="8" t="s">
        <v>417</v>
      </c>
      <c r="D62" s="8"/>
      <c r="E62" s="17">
        <v>177480</v>
      </c>
      <c r="F62" s="29">
        <f>177480-94000+17707.24+714.68</f>
        <v>101901.92</v>
      </c>
      <c r="G62" s="15" t="s">
        <v>424</v>
      </c>
      <c r="H62" s="8"/>
      <c r="I62" s="8"/>
      <c r="J62" s="8"/>
      <c r="K62" s="8"/>
      <c r="L62" s="8" t="s">
        <v>125</v>
      </c>
      <c r="M62" s="29">
        <f>+รายการ!S57</f>
        <v>101187.24</v>
      </c>
      <c r="N62" s="29">
        <f>F62-M62</f>
        <v>714.67999999999302</v>
      </c>
      <c r="O62" s="76"/>
      <c r="P62" s="19"/>
      <c r="Q62" s="65"/>
      <c r="R62" s="65"/>
      <c r="S62" s="65"/>
      <c r="T62" s="65"/>
      <c r="U62" s="65"/>
    </row>
    <row r="63" spans="1:21" s="35" customFormat="1">
      <c r="A63" s="74">
        <v>53</v>
      </c>
      <c r="B63" s="16" t="s">
        <v>536</v>
      </c>
      <c r="C63" s="8" t="s">
        <v>417</v>
      </c>
      <c r="D63" s="8"/>
      <c r="E63" s="17">
        <v>423490</v>
      </c>
      <c r="F63" s="29">
        <f>+E63-154781.78</f>
        <v>268708.21999999997</v>
      </c>
      <c r="G63" s="15" t="s">
        <v>424</v>
      </c>
      <c r="H63" s="8"/>
      <c r="I63" s="8"/>
      <c r="J63" s="8"/>
      <c r="K63" s="8"/>
      <c r="L63" s="8" t="s">
        <v>125</v>
      </c>
      <c r="M63" s="29">
        <f>+รายการ!S58</f>
        <v>268708.21999999997</v>
      </c>
      <c r="N63" s="29">
        <f>F63-M63</f>
        <v>0</v>
      </c>
      <c r="O63" s="76"/>
      <c r="P63" s="19"/>
      <c r="Q63" s="65"/>
      <c r="R63" s="65"/>
      <c r="S63" s="65"/>
      <c r="T63" s="65"/>
      <c r="U63" s="65"/>
    </row>
    <row r="64" spans="1:21" s="35" customFormat="1" ht="37.5">
      <c r="A64" s="74">
        <v>54</v>
      </c>
      <c r="B64" s="16" t="s">
        <v>537</v>
      </c>
      <c r="C64" s="8" t="s">
        <v>417</v>
      </c>
      <c r="D64" s="8"/>
      <c r="E64" s="17">
        <v>18000</v>
      </c>
      <c r="F64" s="29">
        <f>18000-15000</f>
        <v>3000</v>
      </c>
      <c r="G64" s="15" t="s">
        <v>424</v>
      </c>
      <c r="H64" s="8"/>
      <c r="I64" s="8"/>
      <c r="J64" s="8"/>
      <c r="K64" s="8"/>
      <c r="L64" s="8" t="s">
        <v>125</v>
      </c>
      <c r="M64" s="29">
        <v>3000</v>
      </c>
      <c r="N64" s="29">
        <f>F64-M64</f>
        <v>0</v>
      </c>
      <c r="O64" s="76"/>
      <c r="P64" s="19"/>
      <c r="Q64" s="65"/>
      <c r="R64" s="65"/>
      <c r="S64" s="65"/>
      <c r="T64" s="65"/>
      <c r="U64" s="65"/>
    </row>
    <row r="65" spans="1:21" s="35" customFormat="1">
      <c r="A65" s="74">
        <v>55</v>
      </c>
      <c r="B65" s="16" t="s">
        <v>538</v>
      </c>
      <c r="C65" s="8" t="s">
        <v>417</v>
      </c>
      <c r="D65" s="8"/>
      <c r="E65" s="17">
        <v>96800</v>
      </c>
      <c r="F65" s="29">
        <f>96800-500</f>
        <v>96300</v>
      </c>
      <c r="G65" s="15" t="s">
        <v>424</v>
      </c>
      <c r="H65" s="8"/>
      <c r="I65" s="8"/>
      <c r="J65" s="8"/>
      <c r="K65" s="8"/>
      <c r="L65" s="8" t="s">
        <v>125</v>
      </c>
      <c r="M65" s="29">
        <v>96300</v>
      </c>
      <c r="N65" s="29">
        <f>F65-M65</f>
        <v>0</v>
      </c>
      <c r="O65" s="76"/>
      <c r="P65" s="19"/>
      <c r="Q65" s="65"/>
      <c r="R65" s="65"/>
      <c r="S65" s="65"/>
      <c r="T65" s="65"/>
      <c r="U65" s="65"/>
    </row>
    <row r="66" spans="1:21" s="35" customFormat="1" ht="37.5">
      <c r="A66" s="74">
        <v>56</v>
      </c>
      <c r="B66" s="16" t="s">
        <v>539</v>
      </c>
      <c r="C66" s="8" t="s">
        <v>417</v>
      </c>
      <c r="D66" s="8"/>
      <c r="E66" s="17">
        <v>150000</v>
      </c>
      <c r="F66" s="29"/>
      <c r="G66" s="15" t="s">
        <v>424</v>
      </c>
      <c r="H66" s="8"/>
      <c r="I66" s="8"/>
      <c r="J66" s="8"/>
      <c r="K66" s="8"/>
      <c r="L66" s="8" t="s">
        <v>125</v>
      </c>
      <c r="M66" s="29">
        <f>+รายการ!N61</f>
        <v>149500</v>
      </c>
      <c r="N66" s="29">
        <f>E66-M66</f>
        <v>500</v>
      </c>
      <c r="O66" s="76"/>
      <c r="P66" s="19"/>
      <c r="Q66" s="65"/>
      <c r="R66" s="65"/>
      <c r="S66" s="65"/>
      <c r="T66" s="65"/>
      <c r="U66" s="65"/>
    </row>
    <row r="67" spans="1:21" s="35" customFormat="1" ht="47.25">
      <c r="A67" s="74">
        <v>57</v>
      </c>
      <c r="B67" s="16" t="s">
        <v>458</v>
      </c>
      <c r="C67" s="8" t="s">
        <v>417</v>
      </c>
      <c r="D67" s="8"/>
      <c r="E67" s="17">
        <v>550000</v>
      </c>
      <c r="F67" s="29">
        <f>550000-500000-50000</f>
        <v>0</v>
      </c>
      <c r="G67" s="15" t="s">
        <v>424</v>
      </c>
      <c r="H67" s="8"/>
      <c r="I67" s="8"/>
      <c r="J67" s="8"/>
      <c r="K67" s="8"/>
      <c r="L67" s="8"/>
      <c r="M67" s="29">
        <f>+F67</f>
        <v>0</v>
      </c>
      <c r="N67" s="29">
        <f>F67-M67</f>
        <v>0</v>
      </c>
      <c r="O67" s="76"/>
      <c r="P67" s="14" t="s">
        <v>398</v>
      </c>
      <c r="Q67" s="65"/>
      <c r="R67" s="65"/>
      <c r="S67" s="65"/>
      <c r="T67" s="65"/>
      <c r="U67" s="65"/>
    </row>
    <row r="68" spans="1:21" s="35" customFormat="1" ht="37.5">
      <c r="A68" s="74">
        <v>58</v>
      </c>
      <c r="B68" s="16" t="s">
        <v>543</v>
      </c>
      <c r="C68" s="8" t="s">
        <v>417</v>
      </c>
      <c r="D68" s="8"/>
      <c r="E68" s="17">
        <v>5000</v>
      </c>
      <c r="F68" s="29"/>
      <c r="G68" s="15" t="s">
        <v>424</v>
      </c>
      <c r="H68" s="8"/>
      <c r="I68" s="8"/>
      <c r="J68" s="8"/>
      <c r="K68" s="8"/>
      <c r="L68" s="8" t="s">
        <v>125</v>
      </c>
      <c r="M68" s="29">
        <f>+รายการ!S63</f>
        <v>1629</v>
      </c>
      <c r="N68" s="29">
        <f>E68-M68</f>
        <v>3371</v>
      </c>
      <c r="O68" s="76"/>
      <c r="P68" s="19"/>
      <c r="Q68" s="65"/>
      <c r="R68" s="65"/>
      <c r="S68" s="65"/>
      <c r="T68" s="65"/>
      <c r="U68" s="65"/>
    </row>
    <row r="69" spans="1:21" s="35" customFormat="1" ht="37.5">
      <c r="A69" s="74">
        <v>59</v>
      </c>
      <c r="B69" s="16" t="s">
        <v>544</v>
      </c>
      <c r="C69" s="8" t="s">
        <v>417</v>
      </c>
      <c r="D69" s="8"/>
      <c r="E69" s="17">
        <v>5000</v>
      </c>
      <c r="F69" s="29"/>
      <c r="G69" s="15" t="s">
        <v>424</v>
      </c>
      <c r="H69" s="8"/>
      <c r="I69" s="8"/>
      <c r="J69" s="8"/>
      <c r="K69" s="8"/>
      <c r="L69" s="8" t="s">
        <v>125</v>
      </c>
      <c r="M69" s="29">
        <f>+รายการ!S64</f>
        <v>1703.16</v>
      </c>
      <c r="N69" s="29">
        <f>E69-M69</f>
        <v>3296.84</v>
      </c>
      <c r="O69" s="76"/>
      <c r="P69" s="19"/>
      <c r="Q69" s="65"/>
      <c r="R69" s="65"/>
      <c r="S69" s="65"/>
      <c r="T69" s="65"/>
      <c r="U69" s="65"/>
    </row>
    <row r="70" spans="1:21" s="35" customFormat="1" ht="37.5">
      <c r="A70" s="74">
        <v>60</v>
      </c>
      <c r="B70" s="16" t="s">
        <v>548</v>
      </c>
      <c r="C70" s="8" t="s">
        <v>417</v>
      </c>
      <c r="D70" s="8"/>
      <c r="E70" s="17">
        <v>188000</v>
      </c>
      <c r="F70" s="29">
        <f>188000-69215+3972+3590</f>
        <v>126347</v>
      </c>
      <c r="G70" s="15" t="s">
        <v>424</v>
      </c>
      <c r="H70" s="8"/>
      <c r="I70" s="8"/>
      <c r="J70" s="8"/>
      <c r="K70" s="8"/>
      <c r="L70" s="8" t="s">
        <v>125</v>
      </c>
      <c r="M70" s="29">
        <f>+รายการ!N65</f>
        <v>126347</v>
      </c>
      <c r="N70" s="29">
        <f>F70-M70</f>
        <v>0</v>
      </c>
      <c r="O70" s="76"/>
      <c r="P70" s="19"/>
      <c r="Q70" s="65"/>
      <c r="R70" s="65"/>
      <c r="S70" s="65"/>
      <c r="T70" s="65"/>
      <c r="U70" s="65"/>
    </row>
    <row r="71" spans="1:21" s="35" customFormat="1" ht="37.5">
      <c r="A71" s="74">
        <v>61</v>
      </c>
      <c r="B71" s="16" t="s">
        <v>465</v>
      </c>
      <c r="C71" s="8" t="s">
        <v>565</v>
      </c>
      <c r="D71" s="8"/>
      <c r="E71" s="17">
        <v>16000</v>
      </c>
      <c r="F71" s="29">
        <f>16000+570-2000</f>
        <v>14570</v>
      </c>
      <c r="G71" s="8" t="s">
        <v>412</v>
      </c>
      <c r="H71" s="8"/>
      <c r="I71" s="8"/>
      <c r="J71" s="8"/>
      <c r="K71" s="8"/>
      <c r="L71" s="8" t="s">
        <v>125</v>
      </c>
      <c r="M71" s="29">
        <f>+รายการ!S66</f>
        <v>14570</v>
      </c>
      <c r="N71" s="29">
        <f>F71-M71</f>
        <v>0</v>
      </c>
      <c r="O71" s="76"/>
      <c r="P71" s="19"/>
      <c r="Q71" s="65"/>
      <c r="R71" s="65"/>
      <c r="S71" s="65"/>
      <c r="T71" s="65"/>
      <c r="U71" s="65"/>
    </row>
    <row r="72" spans="1:21" s="35" customFormat="1" ht="37.5">
      <c r="A72" s="74">
        <v>62</v>
      </c>
      <c r="B72" s="19" t="s">
        <v>466</v>
      </c>
      <c r="C72" s="8" t="s">
        <v>565</v>
      </c>
      <c r="D72" s="8"/>
      <c r="E72" s="29">
        <v>470000</v>
      </c>
      <c r="F72" s="29">
        <f>470000-274000</f>
        <v>196000</v>
      </c>
      <c r="G72" s="8" t="s">
        <v>424</v>
      </c>
      <c r="H72" s="8"/>
      <c r="I72" s="8"/>
      <c r="J72" s="8"/>
      <c r="K72" s="8"/>
      <c r="L72" s="8" t="s">
        <v>125</v>
      </c>
      <c r="M72" s="29">
        <f>+รายการ!S67</f>
        <v>195560</v>
      </c>
      <c r="N72" s="29">
        <f>F72-M72</f>
        <v>440</v>
      </c>
      <c r="O72" s="76"/>
      <c r="P72" s="19"/>
      <c r="Q72" s="65"/>
      <c r="R72" s="65"/>
      <c r="S72" s="65"/>
      <c r="T72" s="65"/>
      <c r="U72" s="65"/>
    </row>
    <row r="73" spans="1:21" s="35" customFormat="1" ht="47.25">
      <c r="A73" s="74">
        <v>63</v>
      </c>
      <c r="B73" s="19" t="s">
        <v>549</v>
      </c>
      <c r="C73" s="8" t="s">
        <v>565</v>
      </c>
      <c r="D73" s="8"/>
      <c r="E73" s="29">
        <v>10000</v>
      </c>
      <c r="F73" s="29">
        <f>10000-1375-2000-570-6055</f>
        <v>0</v>
      </c>
      <c r="G73" s="8" t="s">
        <v>424</v>
      </c>
      <c r="H73" s="8"/>
      <c r="I73" s="8"/>
      <c r="J73" s="8"/>
      <c r="K73" s="8"/>
      <c r="L73" s="8"/>
      <c r="M73" s="29">
        <f>+รายการ!I68</f>
        <v>0</v>
      </c>
      <c r="N73" s="29">
        <f>F73-M73</f>
        <v>0</v>
      </c>
      <c r="O73" s="76"/>
      <c r="P73" s="14" t="s">
        <v>398</v>
      </c>
      <c r="Q73" s="65"/>
      <c r="R73" s="65"/>
      <c r="S73" s="65"/>
      <c r="T73" s="65"/>
      <c r="U73" s="65"/>
    </row>
    <row r="74" spans="1:21" s="35" customFormat="1">
      <c r="A74" s="74"/>
      <c r="B74" s="75" t="s">
        <v>168</v>
      </c>
      <c r="C74" s="8"/>
      <c r="D74" s="8"/>
      <c r="E74" s="29"/>
      <c r="F74" s="29"/>
      <c r="G74" s="8"/>
      <c r="H74" s="8"/>
      <c r="I74" s="8"/>
      <c r="J74" s="8"/>
      <c r="K74" s="8"/>
      <c r="L74" s="8"/>
      <c r="M74" s="29"/>
      <c r="N74" s="29"/>
      <c r="O74" s="76"/>
      <c r="P74" s="19"/>
      <c r="Q74" s="65"/>
      <c r="R74" s="65"/>
      <c r="S74" s="65"/>
      <c r="T74" s="65"/>
      <c r="U74" s="65"/>
    </row>
    <row r="75" spans="1:21" s="35" customFormat="1">
      <c r="A75" s="74">
        <v>64</v>
      </c>
      <c r="B75" s="16" t="s">
        <v>227</v>
      </c>
      <c r="C75" s="8" t="s">
        <v>168</v>
      </c>
      <c r="D75" s="8"/>
      <c r="E75" s="17">
        <v>100000</v>
      </c>
      <c r="F75" s="29">
        <f>100000+400000-50000+11500</f>
        <v>461500</v>
      </c>
      <c r="G75" s="15" t="s">
        <v>424</v>
      </c>
      <c r="H75" s="8"/>
      <c r="I75" s="8"/>
      <c r="J75" s="8"/>
      <c r="K75" s="8"/>
      <c r="L75" s="8" t="s">
        <v>125</v>
      </c>
      <c r="M75" s="29">
        <f>+รายการ!S71</f>
        <v>452600</v>
      </c>
      <c r="N75" s="29">
        <f t="shared" ref="N75:N80" si="4">F75-M75</f>
        <v>8900</v>
      </c>
      <c r="O75" s="76"/>
      <c r="P75" s="19"/>
      <c r="Q75" s="65"/>
      <c r="R75" s="65"/>
      <c r="S75" s="65"/>
      <c r="T75" s="65"/>
      <c r="U75" s="65"/>
    </row>
    <row r="76" spans="1:21" s="35" customFormat="1">
      <c r="A76" s="74">
        <v>65</v>
      </c>
      <c r="B76" s="16" t="s">
        <v>96</v>
      </c>
      <c r="C76" s="8" t="s">
        <v>168</v>
      </c>
      <c r="D76" s="8"/>
      <c r="E76" s="17">
        <v>150000</v>
      </c>
      <c r="F76" s="29">
        <f>150000-90000</f>
        <v>60000</v>
      </c>
      <c r="G76" s="15" t="s">
        <v>424</v>
      </c>
      <c r="H76" s="8"/>
      <c r="I76" s="8"/>
      <c r="J76" s="8"/>
      <c r="K76" s="8"/>
      <c r="L76" s="8" t="s">
        <v>125</v>
      </c>
      <c r="M76" s="29">
        <f>+รายการ!S72</f>
        <v>52861</v>
      </c>
      <c r="N76" s="29">
        <f t="shared" si="4"/>
        <v>7139</v>
      </c>
      <c r="O76" s="76"/>
      <c r="P76" s="19"/>
      <c r="Q76" s="65"/>
      <c r="R76" s="65"/>
      <c r="S76" s="65"/>
      <c r="T76" s="65"/>
      <c r="U76" s="65"/>
    </row>
    <row r="77" spans="1:21" s="35" customFormat="1">
      <c r="A77" s="74">
        <v>66</v>
      </c>
      <c r="B77" s="16" t="s">
        <v>550</v>
      </c>
      <c r="C77" s="8" t="s">
        <v>168</v>
      </c>
      <c r="D77" s="8"/>
      <c r="E77" s="17">
        <v>100000</v>
      </c>
      <c r="F77" s="29">
        <f>100000-32000+106300+20000+101639.84+103544+30489.9-50000</f>
        <v>379973.74</v>
      </c>
      <c r="G77" s="15" t="s">
        <v>424</v>
      </c>
      <c r="H77" s="8"/>
      <c r="I77" s="8"/>
      <c r="J77" s="8"/>
      <c r="K77" s="8"/>
      <c r="L77" s="8" t="s">
        <v>125</v>
      </c>
      <c r="M77" s="29">
        <f>+รายการ!S73</f>
        <v>370128</v>
      </c>
      <c r="N77" s="29">
        <f t="shared" si="4"/>
        <v>9845.7399999999907</v>
      </c>
      <c r="O77" s="76"/>
      <c r="P77" s="19"/>
      <c r="Q77" s="65"/>
      <c r="R77" s="65"/>
      <c r="S77" s="65"/>
      <c r="T77" s="65"/>
      <c r="U77" s="65"/>
    </row>
    <row r="78" spans="1:21" s="35" customFormat="1">
      <c r="A78" s="74">
        <v>67</v>
      </c>
      <c r="B78" s="16" t="s">
        <v>551</v>
      </c>
      <c r="C78" s="8" t="s">
        <v>168</v>
      </c>
      <c r="D78" s="8"/>
      <c r="E78" s="17">
        <v>100000</v>
      </c>
      <c r="F78" s="29">
        <f>+E78+50000</f>
        <v>150000</v>
      </c>
      <c r="G78" s="15" t="s">
        <v>424</v>
      </c>
      <c r="H78" s="8"/>
      <c r="I78" s="8"/>
      <c r="J78" s="8"/>
      <c r="K78" s="8"/>
      <c r="L78" s="8" t="s">
        <v>125</v>
      </c>
      <c r="M78" s="29">
        <f>+รายการ!N74</f>
        <v>150000</v>
      </c>
      <c r="N78" s="29">
        <f t="shared" si="4"/>
        <v>0</v>
      </c>
      <c r="O78" s="76"/>
      <c r="P78" s="19"/>
      <c r="Q78" s="65"/>
      <c r="R78" s="65"/>
      <c r="S78" s="65"/>
      <c r="T78" s="65"/>
      <c r="U78" s="65"/>
    </row>
    <row r="79" spans="1:21" s="35" customFormat="1" ht="56.25">
      <c r="A79" s="74">
        <v>68</v>
      </c>
      <c r="B79" s="16" t="s">
        <v>430</v>
      </c>
      <c r="C79" s="8" t="s">
        <v>168</v>
      </c>
      <c r="D79" s="8"/>
      <c r="E79" s="17">
        <v>32000</v>
      </c>
      <c r="F79" s="29">
        <f>32000-800</f>
        <v>31200</v>
      </c>
      <c r="G79" s="15" t="s">
        <v>424</v>
      </c>
      <c r="H79" s="8"/>
      <c r="I79" s="8"/>
      <c r="J79" s="8"/>
      <c r="K79" s="8"/>
      <c r="L79" s="8" t="s">
        <v>125</v>
      </c>
      <c r="M79" s="29">
        <v>31200</v>
      </c>
      <c r="N79" s="29">
        <f t="shared" si="4"/>
        <v>0</v>
      </c>
      <c r="O79" s="76"/>
      <c r="P79" s="19"/>
      <c r="Q79" s="65"/>
      <c r="R79" s="65"/>
      <c r="S79" s="65"/>
      <c r="T79" s="65"/>
      <c r="U79" s="65"/>
    </row>
    <row r="80" spans="1:21" s="35" customFormat="1" ht="37.5">
      <c r="A80" s="74">
        <v>69</v>
      </c>
      <c r="B80" s="16" t="s">
        <v>524</v>
      </c>
      <c r="C80" s="8" t="s">
        <v>168</v>
      </c>
      <c r="D80" s="8"/>
      <c r="E80" s="17">
        <v>6400</v>
      </c>
      <c r="F80" s="29">
        <f>6400-2000</f>
        <v>4400</v>
      </c>
      <c r="G80" s="15" t="s">
        <v>424</v>
      </c>
      <c r="H80" s="8"/>
      <c r="I80" s="8"/>
      <c r="J80" s="8"/>
      <c r="K80" s="8"/>
      <c r="L80" s="8" t="s">
        <v>125</v>
      </c>
      <c r="M80" s="29">
        <v>4400</v>
      </c>
      <c r="N80" s="29">
        <f t="shared" si="4"/>
        <v>0</v>
      </c>
      <c r="O80" s="76"/>
      <c r="P80" s="19"/>
      <c r="Q80" s="65"/>
      <c r="R80" s="65"/>
      <c r="S80" s="65"/>
      <c r="T80" s="65"/>
      <c r="U80" s="65"/>
    </row>
    <row r="81" spans="1:21" s="35" customFormat="1" ht="56.25">
      <c r="A81" s="74">
        <v>70</v>
      </c>
      <c r="B81" s="16" t="s">
        <v>634</v>
      </c>
      <c r="C81" s="8" t="s">
        <v>168</v>
      </c>
      <c r="D81" s="8"/>
      <c r="E81" s="17">
        <v>39400</v>
      </c>
      <c r="F81" s="29"/>
      <c r="G81" s="15" t="s">
        <v>424</v>
      </c>
      <c r="H81" s="8"/>
      <c r="I81" s="8"/>
      <c r="J81" s="8"/>
      <c r="K81" s="8"/>
      <c r="L81" s="8" t="s">
        <v>125</v>
      </c>
      <c r="M81" s="29">
        <v>39400</v>
      </c>
      <c r="N81" s="29">
        <f t="shared" ref="N81:N87" si="5">E81-M81</f>
        <v>0</v>
      </c>
      <c r="O81" s="76"/>
      <c r="P81" s="19"/>
      <c r="Q81" s="65"/>
      <c r="R81" s="65"/>
      <c r="S81" s="65"/>
      <c r="T81" s="65"/>
      <c r="U81" s="65"/>
    </row>
    <row r="82" spans="1:21" s="35" customFormat="1" ht="93.75">
      <c r="A82" s="74">
        <v>71</v>
      </c>
      <c r="B82" s="16" t="s">
        <v>633</v>
      </c>
      <c r="C82" s="8" t="s">
        <v>168</v>
      </c>
      <c r="D82" s="8"/>
      <c r="E82" s="17">
        <v>158500</v>
      </c>
      <c r="F82" s="29"/>
      <c r="G82" s="15" t="s">
        <v>424</v>
      </c>
      <c r="H82" s="8"/>
      <c r="I82" s="8"/>
      <c r="J82" s="8"/>
      <c r="K82" s="8"/>
      <c r="L82" s="8" t="s">
        <v>125</v>
      </c>
      <c r="M82" s="29">
        <v>130700</v>
      </c>
      <c r="N82" s="29">
        <f>E82-M82</f>
        <v>27800</v>
      </c>
      <c r="O82" s="76"/>
      <c r="P82" s="19"/>
      <c r="Q82" s="65"/>
      <c r="R82" s="65"/>
      <c r="S82" s="65"/>
      <c r="T82" s="65"/>
      <c r="U82" s="65"/>
    </row>
    <row r="83" spans="1:21" s="35" customFormat="1" ht="56.25">
      <c r="A83" s="74">
        <v>72</v>
      </c>
      <c r="B83" s="16" t="s">
        <v>567</v>
      </c>
      <c r="C83" s="8" t="s">
        <v>168</v>
      </c>
      <c r="D83" s="8"/>
      <c r="E83" s="17">
        <v>265000</v>
      </c>
      <c r="F83" s="29"/>
      <c r="G83" s="15" t="s">
        <v>424</v>
      </c>
      <c r="H83" s="8"/>
      <c r="I83" s="8"/>
      <c r="J83" s="8"/>
      <c r="K83" s="8"/>
      <c r="L83" s="8" t="s">
        <v>125</v>
      </c>
      <c r="M83" s="29">
        <v>196000</v>
      </c>
      <c r="N83" s="29">
        <f t="shared" si="5"/>
        <v>69000</v>
      </c>
      <c r="O83" s="76"/>
      <c r="P83" s="19"/>
      <c r="Q83" s="65"/>
      <c r="R83" s="65"/>
      <c r="S83" s="65"/>
      <c r="T83" s="65"/>
      <c r="U83" s="65"/>
    </row>
    <row r="84" spans="1:21" s="35" customFormat="1" ht="56.25">
      <c r="A84" s="74">
        <v>73</v>
      </c>
      <c r="B84" s="16" t="s">
        <v>474</v>
      </c>
      <c r="C84" s="8" t="s">
        <v>168</v>
      </c>
      <c r="D84" s="8"/>
      <c r="E84" s="17">
        <v>99300</v>
      </c>
      <c r="F84" s="29"/>
      <c r="G84" s="15" t="s">
        <v>424</v>
      </c>
      <c r="H84" s="8"/>
      <c r="I84" s="8"/>
      <c r="J84" s="8"/>
      <c r="K84" s="8"/>
      <c r="L84" s="8" t="s">
        <v>125</v>
      </c>
      <c r="M84" s="29">
        <v>99300</v>
      </c>
      <c r="N84" s="29">
        <f t="shared" si="5"/>
        <v>0</v>
      </c>
      <c r="O84" s="76"/>
      <c r="P84" s="19"/>
      <c r="Q84" s="65"/>
      <c r="R84" s="65"/>
      <c r="S84" s="65"/>
      <c r="T84" s="65"/>
      <c r="U84" s="65"/>
    </row>
    <row r="85" spans="1:21" s="35" customFormat="1" ht="56.25">
      <c r="A85" s="74">
        <v>74</v>
      </c>
      <c r="B85" s="16" t="s">
        <v>552</v>
      </c>
      <c r="C85" s="8" t="s">
        <v>168</v>
      </c>
      <c r="D85" s="8"/>
      <c r="E85" s="17">
        <v>121200</v>
      </c>
      <c r="F85" s="29"/>
      <c r="G85" s="15" t="s">
        <v>424</v>
      </c>
      <c r="H85" s="8"/>
      <c r="I85" s="8"/>
      <c r="J85" s="8"/>
      <c r="K85" s="8"/>
      <c r="L85" s="8" t="s">
        <v>125</v>
      </c>
      <c r="M85" s="29">
        <v>121200</v>
      </c>
      <c r="N85" s="29">
        <f t="shared" si="5"/>
        <v>0</v>
      </c>
      <c r="O85" s="76"/>
      <c r="P85" s="19"/>
      <c r="Q85" s="65"/>
      <c r="R85" s="65"/>
      <c r="S85" s="65"/>
      <c r="T85" s="65"/>
      <c r="U85" s="65"/>
    </row>
    <row r="86" spans="1:21" s="35" customFormat="1" ht="37.5">
      <c r="A86" s="74">
        <v>75</v>
      </c>
      <c r="B86" s="16" t="s">
        <v>553</v>
      </c>
      <c r="C86" s="8" t="s">
        <v>168</v>
      </c>
      <c r="D86" s="8"/>
      <c r="E86" s="17">
        <v>99700</v>
      </c>
      <c r="F86" s="29"/>
      <c r="G86" s="15" t="s">
        <v>424</v>
      </c>
      <c r="H86" s="8"/>
      <c r="I86" s="8"/>
      <c r="J86" s="8"/>
      <c r="K86" s="8"/>
      <c r="L86" s="8" t="s">
        <v>125</v>
      </c>
      <c r="M86" s="281">
        <v>99700</v>
      </c>
      <c r="N86" s="29">
        <f t="shared" si="5"/>
        <v>0</v>
      </c>
      <c r="O86" s="76"/>
      <c r="P86" s="19"/>
      <c r="Q86" s="65"/>
      <c r="R86" s="65"/>
      <c r="S86" s="65"/>
      <c r="T86" s="65"/>
      <c r="U86" s="65"/>
    </row>
    <row r="87" spans="1:21" s="35" customFormat="1" ht="37.5">
      <c r="A87" s="74">
        <v>76</v>
      </c>
      <c r="B87" s="16" t="s">
        <v>554</v>
      </c>
      <c r="C87" s="8" t="s">
        <v>168</v>
      </c>
      <c r="D87" s="8"/>
      <c r="E87" s="17">
        <v>99500</v>
      </c>
      <c r="F87" s="29"/>
      <c r="G87" s="15" t="s">
        <v>424</v>
      </c>
      <c r="H87" s="8"/>
      <c r="I87" s="8"/>
      <c r="J87" s="8"/>
      <c r="K87" s="8"/>
      <c r="L87" s="8" t="s">
        <v>125</v>
      </c>
      <c r="M87" s="29">
        <v>99500</v>
      </c>
      <c r="N87" s="29">
        <f t="shared" si="5"/>
        <v>0</v>
      </c>
      <c r="O87" s="76"/>
      <c r="P87" s="19"/>
      <c r="Q87" s="65"/>
      <c r="R87" s="65"/>
      <c r="S87" s="65"/>
      <c r="T87" s="65"/>
      <c r="U87" s="65"/>
    </row>
    <row r="88" spans="1:21" s="35" customFormat="1" ht="37.5">
      <c r="A88" s="74">
        <v>77</v>
      </c>
      <c r="B88" s="16" t="s">
        <v>379</v>
      </c>
      <c r="C88" s="8" t="s">
        <v>168</v>
      </c>
      <c r="D88" s="8"/>
      <c r="E88" s="17">
        <v>227500</v>
      </c>
      <c r="F88" s="29">
        <f>227500-3400</f>
        <v>224100</v>
      </c>
      <c r="G88" s="15" t="s">
        <v>424</v>
      </c>
      <c r="H88" s="8"/>
      <c r="I88" s="8"/>
      <c r="J88" s="8"/>
      <c r="K88" s="8"/>
      <c r="L88" s="8" t="s">
        <v>125</v>
      </c>
      <c r="M88" s="29">
        <v>224100</v>
      </c>
      <c r="N88" s="29">
        <f>F88-M88</f>
        <v>0</v>
      </c>
      <c r="O88" s="76"/>
      <c r="P88" s="19"/>
      <c r="Q88" s="65"/>
      <c r="R88" s="65"/>
      <c r="S88" s="65"/>
      <c r="T88" s="65"/>
      <c r="U88" s="65"/>
    </row>
    <row r="89" spans="1:21" s="35" customFormat="1" ht="37.5">
      <c r="A89" s="74">
        <v>78</v>
      </c>
      <c r="B89" s="16" t="s">
        <v>380</v>
      </c>
      <c r="C89" s="8" t="s">
        <v>168</v>
      </c>
      <c r="D89" s="8"/>
      <c r="E89" s="17">
        <v>99900</v>
      </c>
      <c r="F89" s="29">
        <f>99900-6500</f>
        <v>93400</v>
      </c>
      <c r="G89" s="15" t="s">
        <v>424</v>
      </c>
      <c r="H89" s="8"/>
      <c r="I89" s="8"/>
      <c r="J89" s="8"/>
      <c r="K89" s="8"/>
      <c r="L89" s="8" t="s">
        <v>125</v>
      </c>
      <c r="M89" s="29">
        <v>93400</v>
      </c>
      <c r="N89" s="29">
        <f>F89-M89</f>
        <v>0</v>
      </c>
      <c r="O89" s="76"/>
      <c r="P89" s="19"/>
      <c r="Q89" s="65"/>
      <c r="R89" s="65"/>
      <c r="S89" s="65"/>
      <c r="T89" s="65"/>
      <c r="U89" s="65"/>
    </row>
    <row r="90" spans="1:21" s="35" customFormat="1" ht="37.5">
      <c r="A90" s="74">
        <v>79</v>
      </c>
      <c r="B90" s="16" t="s">
        <v>381</v>
      </c>
      <c r="C90" s="8" t="s">
        <v>168</v>
      </c>
      <c r="D90" s="8"/>
      <c r="E90" s="17">
        <v>243700</v>
      </c>
      <c r="F90" s="29">
        <f>243700-16500</f>
        <v>227200</v>
      </c>
      <c r="G90" s="15" t="s">
        <v>424</v>
      </c>
      <c r="H90" s="8"/>
      <c r="I90" s="8"/>
      <c r="J90" s="8"/>
      <c r="K90" s="8"/>
      <c r="L90" s="8" t="s">
        <v>125</v>
      </c>
      <c r="M90" s="29">
        <v>227200</v>
      </c>
      <c r="N90" s="29">
        <f>F90-M90</f>
        <v>0</v>
      </c>
      <c r="O90" s="76"/>
      <c r="P90" s="19"/>
      <c r="Q90" s="65"/>
      <c r="R90" s="65"/>
      <c r="S90" s="65"/>
      <c r="T90" s="65"/>
      <c r="U90" s="65"/>
    </row>
    <row r="91" spans="1:21" s="35" customFormat="1" ht="37.5">
      <c r="A91" s="74">
        <v>80</v>
      </c>
      <c r="B91" s="16" t="s">
        <v>478</v>
      </c>
      <c r="C91" s="8" t="s">
        <v>168</v>
      </c>
      <c r="D91" s="8"/>
      <c r="E91" s="17">
        <v>165000</v>
      </c>
      <c r="F91" s="29">
        <f>165000-1900</f>
        <v>163100</v>
      </c>
      <c r="G91" s="15" t="s">
        <v>424</v>
      </c>
      <c r="H91" s="8"/>
      <c r="I91" s="8"/>
      <c r="J91" s="8"/>
      <c r="K91" s="8"/>
      <c r="L91" s="8" t="s">
        <v>125</v>
      </c>
      <c r="M91" s="29">
        <v>163100</v>
      </c>
      <c r="N91" s="29">
        <f>F91-M91</f>
        <v>0</v>
      </c>
      <c r="O91" s="76"/>
      <c r="P91" s="19"/>
      <c r="Q91" s="65"/>
      <c r="R91" s="65"/>
      <c r="S91" s="65"/>
      <c r="T91" s="65"/>
      <c r="U91" s="65"/>
    </row>
    <row r="92" spans="1:21" s="35" customFormat="1" ht="37.5">
      <c r="A92" s="74">
        <v>81</v>
      </c>
      <c r="B92" s="16" t="s">
        <v>555</v>
      </c>
      <c r="C92" s="8" t="s">
        <v>168</v>
      </c>
      <c r="D92" s="8"/>
      <c r="E92" s="17">
        <v>165000</v>
      </c>
      <c r="F92" s="29"/>
      <c r="G92" s="15" t="s">
        <v>424</v>
      </c>
      <c r="H92" s="8"/>
      <c r="I92" s="8"/>
      <c r="J92" s="8"/>
      <c r="K92" s="8"/>
      <c r="L92" s="8" t="s">
        <v>125</v>
      </c>
      <c r="M92" s="29">
        <f>+รายการ!N87</f>
        <v>164500</v>
      </c>
      <c r="N92" s="29">
        <f>E92-M92</f>
        <v>500</v>
      </c>
      <c r="O92" s="76"/>
      <c r="P92" s="19"/>
      <c r="Q92" s="65"/>
      <c r="R92" s="65"/>
      <c r="S92" s="65"/>
      <c r="T92" s="65"/>
      <c r="U92" s="65"/>
    </row>
    <row r="93" spans="1:21" s="35" customFormat="1" ht="56.25">
      <c r="A93" s="74">
        <v>82</v>
      </c>
      <c r="B93" s="16" t="s">
        <v>382</v>
      </c>
      <c r="C93" s="8" t="s">
        <v>168</v>
      </c>
      <c r="D93" s="8"/>
      <c r="E93" s="17">
        <v>197000</v>
      </c>
      <c r="F93" s="29">
        <f>197000-54000</f>
        <v>143000</v>
      </c>
      <c r="G93" s="15" t="s">
        <v>424</v>
      </c>
      <c r="H93" s="8"/>
      <c r="I93" s="8"/>
      <c r="J93" s="8"/>
      <c r="K93" s="8"/>
      <c r="L93" s="8" t="s">
        <v>125</v>
      </c>
      <c r="M93" s="29">
        <f>+รายการ!I88</f>
        <v>143000</v>
      </c>
      <c r="N93" s="29">
        <f>F93-M93</f>
        <v>0</v>
      </c>
      <c r="O93" s="76"/>
      <c r="P93" s="19"/>
      <c r="Q93" s="65"/>
      <c r="R93" s="65"/>
      <c r="S93" s="65"/>
      <c r="T93" s="65"/>
      <c r="U93" s="65"/>
    </row>
    <row r="94" spans="1:21" s="35" customFormat="1" ht="56.25">
      <c r="A94" s="74">
        <v>83</v>
      </c>
      <c r="B94" s="16" t="s">
        <v>556</v>
      </c>
      <c r="C94" s="8" t="s">
        <v>168</v>
      </c>
      <c r="D94" s="8"/>
      <c r="E94" s="17">
        <v>213000</v>
      </c>
      <c r="F94" s="29"/>
      <c r="G94" s="15" t="s">
        <v>424</v>
      </c>
      <c r="H94" s="8"/>
      <c r="I94" s="8"/>
      <c r="J94" s="8"/>
      <c r="K94" s="8"/>
      <c r="L94" s="8" t="s">
        <v>125</v>
      </c>
      <c r="M94" s="29">
        <v>213000</v>
      </c>
      <c r="N94" s="29">
        <f>E94-M94</f>
        <v>0</v>
      </c>
      <c r="O94" s="76"/>
      <c r="P94" s="19"/>
      <c r="Q94" s="65"/>
      <c r="R94" s="65"/>
      <c r="S94" s="65"/>
      <c r="T94" s="65"/>
      <c r="U94" s="65"/>
    </row>
    <row r="95" spans="1:21" s="35" customFormat="1" ht="56.25">
      <c r="A95" s="74">
        <v>84</v>
      </c>
      <c r="B95" s="16" t="s">
        <v>383</v>
      </c>
      <c r="C95" s="8" t="s">
        <v>168</v>
      </c>
      <c r="D95" s="8"/>
      <c r="E95" s="17">
        <v>139000</v>
      </c>
      <c r="F95" s="29"/>
      <c r="G95" s="15" t="s">
        <v>424</v>
      </c>
      <c r="H95" s="8"/>
      <c r="I95" s="8"/>
      <c r="J95" s="8"/>
      <c r="K95" s="8"/>
      <c r="L95" s="8" t="s">
        <v>125</v>
      </c>
      <c r="M95" s="29">
        <v>139000</v>
      </c>
      <c r="N95" s="29">
        <f>E95-M95</f>
        <v>0</v>
      </c>
      <c r="O95" s="76"/>
      <c r="P95" s="19"/>
      <c r="Q95" s="65"/>
      <c r="R95" s="65"/>
      <c r="S95" s="65"/>
      <c r="T95" s="65"/>
      <c r="U95" s="65"/>
    </row>
    <row r="96" spans="1:21" s="35" customFormat="1" ht="37.5">
      <c r="A96" s="74">
        <v>85</v>
      </c>
      <c r="B96" s="16" t="s">
        <v>569</v>
      </c>
      <c r="C96" s="8" t="s">
        <v>168</v>
      </c>
      <c r="D96" s="8"/>
      <c r="E96" s="17">
        <v>99000</v>
      </c>
      <c r="F96" s="29">
        <f>99000-350</f>
        <v>98650</v>
      </c>
      <c r="G96" s="15" t="s">
        <v>424</v>
      </c>
      <c r="H96" s="8"/>
      <c r="I96" s="8"/>
      <c r="J96" s="8"/>
      <c r="K96" s="8"/>
      <c r="L96" s="8" t="s">
        <v>125</v>
      </c>
      <c r="M96" s="29">
        <v>98650</v>
      </c>
      <c r="N96" s="29">
        <f>F96-M96</f>
        <v>0</v>
      </c>
      <c r="O96" s="76"/>
      <c r="P96" s="19"/>
      <c r="Q96" s="65"/>
      <c r="R96" s="65"/>
      <c r="S96" s="65"/>
      <c r="T96" s="65"/>
      <c r="U96" s="65"/>
    </row>
    <row r="97" spans="1:21" s="35" customFormat="1" ht="37.5">
      <c r="A97" s="74">
        <v>86</v>
      </c>
      <c r="B97" s="16" t="s">
        <v>557</v>
      </c>
      <c r="C97" s="8" t="s">
        <v>168</v>
      </c>
      <c r="D97" s="8"/>
      <c r="E97" s="17">
        <v>99600</v>
      </c>
      <c r="F97" s="29"/>
      <c r="G97" s="15" t="s">
        <v>424</v>
      </c>
      <c r="H97" s="8"/>
      <c r="I97" s="8"/>
      <c r="J97" s="8"/>
      <c r="K97" s="8"/>
      <c r="L97" s="8" t="s">
        <v>125</v>
      </c>
      <c r="M97" s="29">
        <v>99600</v>
      </c>
      <c r="N97" s="29">
        <f>E97-M97</f>
        <v>0</v>
      </c>
      <c r="O97" s="76"/>
      <c r="P97" s="19"/>
      <c r="Q97" s="65"/>
      <c r="R97" s="65"/>
      <c r="S97" s="65"/>
      <c r="T97" s="65"/>
      <c r="U97" s="65"/>
    </row>
    <row r="98" spans="1:21" s="35" customFormat="1" ht="37.5">
      <c r="A98" s="74">
        <v>87</v>
      </c>
      <c r="B98" s="16" t="s">
        <v>558</v>
      </c>
      <c r="C98" s="8" t="s">
        <v>168</v>
      </c>
      <c r="D98" s="8"/>
      <c r="E98" s="17">
        <v>99500</v>
      </c>
      <c r="F98" s="29">
        <f>99500-500</f>
        <v>99000</v>
      </c>
      <c r="G98" s="15" t="s">
        <v>424</v>
      </c>
      <c r="H98" s="8"/>
      <c r="I98" s="8"/>
      <c r="J98" s="8"/>
      <c r="K98" s="8"/>
      <c r="L98" s="8" t="s">
        <v>125</v>
      </c>
      <c r="M98" s="29">
        <v>99000</v>
      </c>
      <c r="N98" s="29">
        <f>F98-M98</f>
        <v>0</v>
      </c>
      <c r="O98" s="76"/>
      <c r="P98" s="19"/>
      <c r="Q98" s="65"/>
      <c r="R98" s="65"/>
      <c r="S98" s="65"/>
      <c r="T98" s="65"/>
      <c r="U98" s="65"/>
    </row>
    <row r="99" spans="1:21" s="35" customFormat="1" ht="37.5">
      <c r="A99" s="74">
        <v>88</v>
      </c>
      <c r="B99" s="16" t="s">
        <v>559</v>
      </c>
      <c r="C99" s="8" t="s">
        <v>168</v>
      </c>
      <c r="D99" s="8"/>
      <c r="E99" s="17">
        <v>99700</v>
      </c>
      <c r="F99" s="29">
        <f>99700-500</f>
        <v>99200</v>
      </c>
      <c r="G99" s="15" t="s">
        <v>424</v>
      </c>
      <c r="H99" s="8"/>
      <c r="I99" s="8"/>
      <c r="J99" s="8"/>
      <c r="K99" s="8"/>
      <c r="L99" s="8" t="s">
        <v>125</v>
      </c>
      <c r="M99" s="29">
        <v>99200</v>
      </c>
      <c r="N99" s="29">
        <f>F99-M99</f>
        <v>0</v>
      </c>
      <c r="O99" s="76"/>
      <c r="P99" s="19"/>
      <c r="Q99" s="65"/>
      <c r="R99" s="65"/>
      <c r="S99" s="65"/>
      <c r="T99" s="65"/>
      <c r="U99" s="65"/>
    </row>
    <row r="100" spans="1:21" s="35" customFormat="1" ht="37.5">
      <c r="A100" s="74">
        <v>89</v>
      </c>
      <c r="B100" s="16" t="s">
        <v>560</v>
      </c>
      <c r="C100" s="8" t="s">
        <v>168</v>
      </c>
      <c r="D100" s="8"/>
      <c r="E100" s="17">
        <v>99400</v>
      </c>
      <c r="F100" s="29">
        <f>99400-400</f>
        <v>99000</v>
      </c>
      <c r="G100" s="15" t="s">
        <v>424</v>
      </c>
      <c r="H100" s="8"/>
      <c r="I100" s="8"/>
      <c r="J100" s="8"/>
      <c r="K100" s="8"/>
      <c r="L100" s="8" t="s">
        <v>125</v>
      </c>
      <c r="M100" s="29">
        <v>99000</v>
      </c>
      <c r="N100" s="29">
        <f>F100-M100</f>
        <v>0</v>
      </c>
      <c r="O100" s="76"/>
      <c r="P100" s="19"/>
      <c r="Q100" s="65"/>
      <c r="R100" s="65"/>
      <c r="S100" s="65"/>
      <c r="T100" s="65"/>
      <c r="U100" s="65"/>
    </row>
    <row r="101" spans="1:21" s="35" customFormat="1">
      <c r="A101" s="74">
        <v>90</v>
      </c>
      <c r="B101" s="16" t="s">
        <v>102</v>
      </c>
      <c r="C101" s="8" t="s">
        <v>168</v>
      </c>
      <c r="D101" s="8"/>
      <c r="E101" s="17">
        <v>100000</v>
      </c>
      <c r="F101" s="29"/>
      <c r="G101" s="15" t="s">
        <v>424</v>
      </c>
      <c r="H101" s="8"/>
      <c r="I101" s="8"/>
      <c r="J101" s="8"/>
      <c r="K101" s="8"/>
      <c r="L101" s="8" t="s">
        <v>125</v>
      </c>
      <c r="M101" s="29">
        <f>+รายการ!N96+90450</f>
        <v>90980</v>
      </c>
      <c r="N101" s="29">
        <f>E101-M101</f>
        <v>9020</v>
      </c>
      <c r="O101" s="76"/>
      <c r="P101" s="19"/>
      <c r="Q101" s="65"/>
      <c r="R101" s="65"/>
      <c r="S101" s="65"/>
      <c r="T101" s="65"/>
      <c r="U101" s="65"/>
    </row>
    <row r="102" spans="1:21" s="35" customFormat="1" ht="56.25">
      <c r="A102" s="74">
        <v>91</v>
      </c>
      <c r="B102" s="16" t="s">
        <v>561</v>
      </c>
      <c r="C102" s="8" t="s">
        <v>168</v>
      </c>
      <c r="D102" s="8"/>
      <c r="E102" s="17">
        <v>97900</v>
      </c>
      <c r="F102" s="29">
        <f>97900-70000</f>
        <v>27900</v>
      </c>
      <c r="G102" s="15" t="s">
        <v>424</v>
      </c>
      <c r="H102" s="8"/>
      <c r="I102" s="8"/>
      <c r="J102" s="8"/>
      <c r="K102" s="8"/>
      <c r="L102" s="8" t="s">
        <v>125</v>
      </c>
      <c r="M102" s="29">
        <f>+รายการ!N97</f>
        <v>24400</v>
      </c>
      <c r="N102" s="29">
        <f>F102-M102</f>
        <v>3500</v>
      </c>
      <c r="O102" s="76"/>
      <c r="P102" s="19"/>
      <c r="Q102" s="65"/>
      <c r="R102" s="65"/>
      <c r="S102" s="65"/>
      <c r="T102" s="65"/>
      <c r="U102" s="65"/>
    </row>
    <row r="103" spans="1:21" s="35" customFormat="1" ht="37.5">
      <c r="A103" s="74">
        <v>92</v>
      </c>
      <c r="B103" s="16" t="s">
        <v>520</v>
      </c>
      <c r="C103" s="8" t="s">
        <v>168</v>
      </c>
      <c r="D103" s="8"/>
      <c r="E103" s="17">
        <v>2694400</v>
      </c>
      <c r="F103" s="29"/>
      <c r="G103" s="15" t="s">
        <v>424</v>
      </c>
      <c r="H103" s="8"/>
      <c r="I103" s="8"/>
      <c r="J103" s="8"/>
      <c r="K103" s="8"/>
      <c r="L103" s="8" t="s">
        <v>125</v>
      </c>
      <c r="M103" s="29">
        <v>2425042</v>
      </c>
      <c r="N103" s="29">
        <f t="shared" ref="N103:N109" si="6">E103-M103</f>
        <v>269358</v>
      </c>
      <c r="O103" s="76"/>
      <c r="P103" s="19"/>
      <c r="Q103" s="65"/>
      <c r="R103" s="65"/>
      <c r="S103" s="65"/>
      <c r="T103" s="65"/>
      <c r="U103" s="65"/>
    </row>
    <row r="104" spans="1:21" s="35" customFormat="1" ht="37.5">
      <c r="A104" s="74">
        <v>93</v>
      </c>
      <c r="B104" s="16" t="s">
        <v>521</v>
      </c>
      <c r="C104" s="8" t="s">
        <v>168</v>
      </c>
      <c r="D104" s="8"/>
      <c r="E104" s="17">
        <v>2694400</v>
      </c>
      <c r="F104" s="29"/>
      <c r="G104" s="15" t="s">
        <v>424</v>
      </c>
      <c r="H104" s="8"/>
      <c r="I104" s="8"/>
      <c r="J104" s="8"/>
      <c r="K104" s="8"/>
      <c r="L104" s="8" t="s">
        <v>125</v>
      </c>
      <c r="M104" s="29">
        <v>2347042</v>
      </c>
      <c r="N104" s="29">
        <f t="shared" si="6"/>
        <v>347358</v>
      </c>
      <c r="O104" s="76"/>
      <c r="P104" s="19"/>
      <c r="Q104" s="65"/>
      <c r="R104" s="65"/>
      <c r="S104" s="65"/>
      <c r="T104" s="65"/>
      <c r="U104" s="65"/>
    </row>
    <row r="105" spans="1:21" s="35" customFormat="1" ht="37.5">
      <c r="A105" s="74">
        <v>94</v>
      </c>
      <c r="B105" s="16" t="s">
        <v>522</v>
      </c>
      <c r="C105" s="8" t="s">
        <v>168</v>
      </c>
      <c r="D105" s="8"/>
      <c r="E105" s="17">
        <v>499700</v>
      </c>
      <c r="F105" s="29"/>
      <c r="G105" s="15" t="s">
        <v>568</v>
      </c>
      <c r="H105" s="8"/>
      <c r="I105" s="8"/>
      <c r="J105" s="8"/>
      <c r="K105" s="8"/>
      <c r="L105" s="8" t="s">
        <v>125</v>
      </c>
      <c r="M105" s="29">
        <v>499700</v>
      </c>
      <c r="N105" s="29">
        <f t="shared" si="6"/>
        <v>0</v>
      </c>
      <c r="O105" s="76"/>
      <c r="P105" s="19"/>
      <c r="Q105" s="65"/>
      <c r="R105" s="65"/>
      <c r="S105" s="65"/>
      <c r="T105" s="65"/>
      <c r="U105" s="65"/>
    </row>
    <row r="106" spans="1:21" s="35" customFormat="1">
      <c r="A106" s="74">
        <v>95</v>
      </c>
      <c r="B106" s="16" t="s">
        <v>421</v>
      </c>
      <c r="C106" s="8" t="s">
        <v>168</v>
      </c>
      <c r="D106" s="8"/>
      <c r="E106" s="17">
        <v>303773</v>
      </c>
      <c r="F106" s="29"/>
      <c r="G106" s="15" t="s">
        <v>568</v>
      </c>
      <c r="H106" s="8"/>
      <c r="I106" s="8"/>
      <c r="J106" s="8"/>
      <c r="K106" s="8"/>
      <c r="L106" s="8" t="s">
        <v>125</v>
      </c>
      <c r="M106" s="29">
        <v>300000</v>
      </c>
      <c r="N106" s="29">
        <f t="shared" si="6"/>
        <v>3773</v>
      </c>
      <c r="O106" s="76"/>
      <c r="P106" s="19"/>
      <c r="Q106" s="65"/>
      <c r="R106" s="65"/>
      <c r="S106" s="65"/>
      <c r="T106" s="65"/>
      <c r="U106" s="65"/>
    </row>
    <row r="107" spans="1:21" s="35" customFormat="1" ht="37.5">
      <c r="A107" s="74">
        <v>96</v>
      </c>
      <c r="B107" s="16" t="s">
        <v>562</v>
      </c>
      <c r="C107" s="8" t="s">
        <v>168</v>
      </c>
      <c r="D107" s="8"/>
      <c r="E107" s="17">
        <v>181000</v>
      </c>
      <c r="F107" s="29"/>
      <c r="G107" s="15" t="s">
        <v>568</v>
      </c>
      <c r="H107" s="8"/>
      <c r="I107" s="8"/>
      <c r="J107" s="8"/>
      <c r="K107" s="8"/>
      <c r="L107" s="8" t="s">
        <v>125</v>
      </c>
      <c r="M107" s="29">
        <v>181000</v>
      </c>
      <c r="N107" s="29">
        <f t="shared" si="6"/>
        <v>0</v>
      </c>
      <c r="O107" s="76"/>
      <c r="P107" s="19"/>
      <c r="Q107" s="65"/>
      <c r="R107" s="65"/>
      <c r="S107" s="65"/>
      <c r="T107" s="65"/>
      <c r="U107" s="65"/>
    </row>
    <row r="108" spans="1:21" s="35" customFormat="1" ht="37.5">
      <c r="A108" s="74">
        <v>97</v>
      </c>
      <c r="B108" s="16" t="s">
        <v>563</v>
      </c>
      <c r="C108" s="8" t="s">
        <v>168</v>
      </c>
      <c r="D108" s="8"/>
      <c r="E108" s="17">
        <v>171000</v>
      </c>
      <c r="F108" s="29"/>
      <c r="G108" s="15" t="s">
        <v>568</v>
      </c>
      <c r="H108" s="8"/>
      <c r="I108" s="8"/>
      <c r="J108" s="8"/>
      <c r="K108" s="8"/>
      <c r="L108" s="8" t="s">
        <v>125</v>
      </c>
      <c r="M108" s="29">
        <v>171000</v>
      </c>
      <c r="N108" s="29">
        <f t="shared" si="6"/>
        <v>0</v>
      </c>
      <c r="O108" s="76"/>
      <c r="P108" s="19"/>
      <c r="Q108" s="65"/>
      <c r="R108" s="65"/>
      <c r="S108" s="65"/>
      <c r="T108" s="65"/>
      <c r="U108" s="65"/>
    </row>
    <row r="109" spans="1:21" s="35" customFormat="1" ht="37.5">
      <c r="A109" s="74">
        <v>98</v>
      </c>
      <c r="B109" s="16" t="s">
        <v>564</v>
      </c>
      <c r="C109" s="8" t="s">
        <v>168</v>
      </c>
      <c r="D109" s="8"/>
      <c r="E109" s="17">
        <v>148000</v>
      </c>
      <c r="F109" s="29"/>
      <c r="G109" s="8" t="s">
        <v>568</v>
      </c>
      <c r="H109" s="8"/>
      <c r="I109" s="8"/>
      <c r="J109" s="8"/>
      <c r="K109" s="8"/>
      <c r="L109" s="8" t="s">
        <v>125</v>
      </c>
      <c r="M109" s="29">
        <v>148000</v>
      </c>
      <c r="N109" s="29">
        <f t="shared" si="6"/>
        <v>0</v>
      </c>
      <c r="O109" s="76"/>
      <c r="P109" s="19"/>
      <c r="Q109" s="65"/>
      <c r="R109" s="65"/>
      <c r="S109" s="65"/>
      <c r="T109" s="65"/>
      <c r="U109" s="65"/>
    </row>
    <row r="110" spans="1:21">
      <c r="A110" s="25"/>
      <c r="B110" s="26"/>
      <c r="C110" s="25"/>
      <c r="D110" s="25"/>
      <c r="E110" s="27"/>
      <c r="F110" s="27"/>
      <c r="G110" s="25"/>
      <c r="H110" s="26"/>
      <c r="I110" s="26"/>
      <c r="J110" s="26"/>
      <c r="K110" s="26"/>
      <c r="L110" s="25"/>
      <c r="M110" s="27"/>
      <c r="N110" s="27"/>
      <c r="O110" s="276"/>
      <c r="P110" s="26"/>
    </row>
    <row r="111" spans="1:21" s="79" customFormat="1">
      <c r="A111" s="77"/>
      <c r="B111" s="77"/>
      <c r="C111" s="77" t="s">
        <v>399</v>
      </c>
      <c r="D111" s="77" t="s">
        <v>400</v>
      </c>
      <c r="E111" s="78"/>
      <c r="F111" s="78"/>
      <c r="G111" s="77"/>
      <c r="H111" s="77"/>
      <c r="I111" s="77"/>
      <c r="J111" s="77"/>
      <c r="K111" s="77"/>
      <c r="L111" s="77"/>
      <c r="M111" s="78"/>
      <c r="N111" s="78"/>
      <c r="O111" s="277"/>
      <c r="P111" s="77"/>
      <c r="Q111" s="77"/>
      <c r="R111" s="77"/>
      <c r="S111" s="77"/>
      <c r="T111" s="77"/>
      <c r="U111" s="77"/>
    </row>
    <row r="112" spans="1:21" s="79" customFormat="1">
      <c r="A112" s="77"/>
      <c r="B112" s="77"/>
      <c r="C112" s="77"/>
      <c r="D112" s="77" t="s">
        <v>401</v>
      </c>
      <c r="E112" s="78"/>
      <c r="F112" s="78"/>
      <c r="G112" s="77"/>
      <c r="H112" s="77"/>
      <c r="I112" s="77"/>
      <c r="J112" s="77"/>
      <c r="K112" s="77"/>
      <c r="L112" s="77"/>
      <c r="M112" s="78"/>
      <c r="N112" s="78"/>
      <c r="O112" s="277"/>
      <c r="P112" s="77"/>
      <c r="Q112" s="77"/>
      <c r="R112" s="77"/>
      <c r="S112" s="77"/>
      <c r="T112" s="77"/>
      <c r="U112" s="77"/>
    </row>
    <row r="113" spans="1:21" s="79" customFormat="1">
      <c r="A113" s="77"/>
      <c r="B113" s="77"/>
      <c r="C113" s="77"/>
      <c r="D113" s="77" t="s">
        <v>402</v>
      </c>
      <c r="E113" s="78"/>
      <c r="F113" s="78"/>
      <c r="G113" s="77"/>
      <c r="H113" s="77"/>
      <c r="I113" s="77"/>
      <c r="J113" s="77"/>
      <c r="K113" s="77"/>
      <c r="L113" s="77"/>
      <c r="M113" s="78"/>
      <c r="N113" s="78"/>
      <c r="O113" s="277"/>
      <c r="P113" s="77"/>
      <c r="Q113" s="77"/>
      <c r="R113" s="77"/>
      <c r="S113" s="77"/>
      <c r="T113" s="77"/>
      <c r="U113" s="77"/>
    </row>
    <row r="114" spans="1:21" s="79" customFormat="1">
      <c r="A114" s="77"/>
      <c r="B114" s="77"/>
      <c r="C114" s="77"/>
      <c r="D114" s="77" t="s">
        <v>403</v>
      </c>
      <c r="E114" s="78"/>
      <c r="F114" s="78"/>
      <c r="G114" s="77"/>
      <c r="H114" s="77"/>
      <c r="I114" s="77"/>
      <c r="J114" s="77"/>
      <c r="K114" s="77"/>
      <c r="L114" s="77"/>
      <c r="M114" s="78"/>
      <c r="N114" s="78"/>
      <c r="O114" s="277"/>
      <c r="P114" s="77"/>
      <c r="Q114" s="77"/>
      <c r="R114" s="77"/>
      <c r="S114" s="77"/>
      <c r="T114" s="77"/>
      <c r="U114" s="77"/>
    </row>
    <row r="115" spans="1:21" s="79" customFormat="1">
      <c r="A115" s="77"/>
      <c r="B115" s="77"/>
      <c r="C115" s="77"/>
      <c r="D115" s="77" t="s">
        <v>404</v>
      </c>
      <c r="E115" s="78"/>
      <c r="F115" s="78"/>
      <c r="G115" s="77"/>
      <c r="H115" s="77"/>
      <c r="I115" s="77"/>
      <c r="J115" s="77"/>
      <c r="K115" s="77"/>
      <c r="L115" s="77"/>
      <c r="M115" s="78"/>
      <c r="N115" s="78"/>
      <c r="O115" s="277"/>
      <c r="P115" s="77"/>
      <c r="Q115" s="77"/>
      <c r="R115" s="77"/>
      <c r="S115" s="77"/>
      <c r="T115" s="77"/>
      <c r="U115" s="77"/>
    </row>
    <row r="116" spans="1:21" s="79" customFormat="1">
      <c r="A116" s="77"/>
      <c r="B116" s="77"/>
      <c r="C116" s="77"/>
      <c r="D116" s="77" t="s">
        <v>405</v>
      </c>
      <c r="E116" s="78"/>
      <c r="F116" s="78"/>
      <c r="G116" s="77"/>
      <c r="H116" s="77"/>
      <c r="I116" s="77"/>
      <c r="J116" s="77"/>
      <c r="K116" s="77"/>
      <c r="L116" s="77"/>
      <c r="M116" s="78"/>
      <c r="N116" s="78"/>
      <c r="O116" s="277"/>
      <c r="P116" s="77"/>
      <c r="Q116" s="77"/>
      <c r="R116" s="77"/>
      <c r="S116" s="77"/>
      <c r="T116" s="77"/>
      <c r="U116" s="77"/>
    </row>
    <row r="117" spans="1:21">
      <c r="A117" s="25"/>
      <c r="B117" s="26"/>
      <c r="C117" s="25"/>
      <c r="D117" s="25"/>
      <c r="E117" s="27"/>
      <c r="F117" s="27"/>
      <c r="G117" s="25"/>
      <c r="H117" s="26"/>
      <c r="I117" s="26"/>
      <c r="J117" s="26"/>
      <c r="K117" s="26"/>
      <c r="L117" s="25"/>
      <c r="M117" s="27"/>
      <c r="N117" s="27"/>
      <c r="O117" s="276"/>
      <c r="P117" s="26"/>
    </row>
    <row r="118" spans="1:21">
      <c r="A118" s="25"/>
      <c r="B118" s="26"/>
      <c r="C118" s="25"/>
      <c r="D118" s="25"/>
      <c r="E118" s="27"/>
      <c r="F118" s="27"/>
      <c r="G118" s="25"/>
      <c r="H118" s="26"/>
      <c r="I118" s="26"/>
      <c r="J118" s="26"/>
      <c r="K118" s="26"/>
      <c r="L118" s="25"/>
      <c r="M118" s="27"/>
      <c r="N118" s="27"/>
      <c r="O118" s="276"/>
      <c r="P118" s="26"/>
    </row>
    <row r="119" spans="1:21">
      <c r="A119" s="25"/>
      <c r="B119" s="26"/>
      <c r="C119" s="25"/>
      <c r="D119" s="25"/>
      <c r="E119" s="27"/>
      <c r="F119" s="27"/>
      <c r="G119" s="25"/>
      <c r="H119" s="26"/>
      <c r="I119" s="26"/>
      <c r="J119" s="26"/>
      <c r="K119" s="26"/>
      <c r="L119" s="25"/>
      <c r="M119" s="27"/>
      <c r="N119" s="27"/>
      <c r="O119" s="276"/>
      <c r="P119" s="26"/>
    </row>
    <row r="120" spans="1:21" s="39" customFormat="1">
      <c r="A120" s="278"/>
      <c r="B120" s="89" t="s">
        <v>397</v>
      </c>
      <c r="C120" s="159"/>
      <c r="D120" s="89"/>
      <c r="E120" s="88"/>
      <c r="F120" s="88"/>
      <c r="I120" s="88"/>
      <c r="J120" s="333"/>
      <c r="K120" s="333"/>
      <c r="L120" s="333"/>
      <c r="M120" s="279" t="s">
        <v>396</v>
      </c>
      <c r="T120" s="41"/>
    </row>
    <row r="121" spans="1:21" s="39" customFormat="1">
      <c r="A121" s="278"/>
      <c r="B121" s="89" t="s">
        <v>647</v>
      </c>
      <c r="C121" s="159"/>
      <c r="D121" s="89"/>
      <c r="E121" s="88"/>
      <c r="F121" s="88"/>
      <c r="I121" s="88"/>
      <c r="J121" s="333"/>
      <c r="K121" s="333"/>
      <c r="L121" s="333"/>
      <c r="M121" s="279" t="s">
        <v>75</v>
      </c>
      <c r="T121" s="41"/>
    </row>
    <row r="122" spans="1:21" s="39" customFormat="1">
      <c r="A122" s="43"/>
      <c r="B122" s="89" t="s">
        <v>649</v>
      </c>
      <c r="C122" s="41"/>
      <c r="D122" s="89"/>
      <c r="J122" s="333"/>
      <c r="K122" s="333"/>
      <c r="L122" s="333"/>
      <c r="M122" s="279" t="s">
        <v>74</v>
      </c>
      <c r="S122" s="43"/>
      <c r="T122" s="41"/>
    </row>
    <row r="123" spans="1:21" s="43" customFormat="1">
      <c r="B123" s="89" t="s">
        <v>648</v>
      </c>
      <c r="G123" s="280"/>
    </row>
    <row r="124" spans="1:21">
      <c r="A124" s="25"/>
      <c r="B124" s="26"/>
      <c r="C124" s="25"/>
      <c r="D124" s="25"/>
      <c r="E124" s="27"/>
      <c r="F124" s="27"/>
      <c r="G124" s="25"/>
      <c r="H124" s="25"/>
      <c r="I124" s="25"/>
      <c r="J124" s="25"/>
      <c r="K124" s="25"/>
      <c r="L124" s="25"/>
      <c r="M124" s="27"/>
      <c r="N124" s="27"/>
      <c r="O124" s="276"/>
      <c r="P124" s="26"/>
    </row>
    <row r="125" spans="1:21">
      <c r="A125" s="25"/>
      <c r="B125" s="26"/>
      <c r="C125" s="25"/>
      <c r="D125" s="25"/>
      <c r="E125" s="27"/>
      <c r="F125" s="27"/>
      <c r="G125" s="25"/>
      <c r="H125" s="25"/>
      <c r="I125" s="25"/>
      <c r="J125" s="25"/>
      <c r="K125" s="25"/>
      <c r="L125" s="25"/>
      <c r="M125" s="27"/>
      <c r="N125" s="27"/>
      <c r="O125" s="276"/>
      <c r="P125" s="26"/>
    </row>
    <row r="126" spans="1:21">
      <c r="A126" s="25"/>
      <c r="B126" s="26"/>
      <c r="C126" s="25"/>
      <c r="D126" s="25"/>
      <c r="E126" s="27"/>
      <c r="F126" s="27"/>
      <c r="G126" s="25"/>
      <c r="H126" s="25"/>
      <c r="I126" s="25"/>
      <c r="J126" s="25"/>
      <c r="K126" s="25"/>
      <c r="L126" s="25"/>
      <c r="M126" s="27"/>
      <c r="N126" s="27"/>
      <c r="O126" s="276"/>
      <c r="P126" s="26"/>
    </row>
    <row r="127" spans="1:21">
      <c r="A127" s="25"/>
      <c r="B127" s="26"/>
      <c r="C127" s="25"/>
      <c r="D127" s="25"/>
      <c r="E127" s="27"/>
      <c r="F127" s="27"/>
      <c r="G127" s="25"/>
      <c r="H127" s="25"/>
      <c r="I127" s="25"/>
      <c r="J127" s="25"/>
      <c r="K127" s="25"/>
      <c r="L127" s="25"/>
      <c r="M127" s="27"/>
      <c r="N127" s="27"/>
      <c r="O127" s="276"/>
      <c r="P127" s="26"/>
    </row>
    <row r="128" spans="1:21">
      <c r="A128" s="25"/>
      <c r="B128" s="26"/>
      <c r="C128" s="25"/>
      <c r="D128" s="25"/>
      <c r="E128" s="27"/>
      <c r="F128" s="27"/>
      <c r="G128" s="25"/>
      <c r="H128" s="25"/>
      <c r="I128" s="25"/>
      <c r="J128" s="25"/>
      <c r="K128" s="25"/>
      <c r="L128" s="25"/>
      <c r="M128" s="27"/>
      <c r="N128" s="27"/>
      <c r="O128" s="276"/>
      <c r="P128" s="26"/>
    </row>
    <row r="129" spans="1:16">
      <c r="A129" s="25"/>
      <c r="B129" s="26"/>
      <c r="C129" s="25"/>
      <c r="D129" s="25"/>
      <c r="E129" s="27"/>
      <c r="F129" s="27"/>
      <c r="G129" s="25"/>
      <c r="H129" s="25"/>
      <c r="I129" s="25"/>
      <c r="J129" s="25"/>
      <c r="K129" s="25"/>
      <c r="L129" s="25"/>
      <c r="M129" s="27"/>
      <c r="N129" s="27"/>
      <c r="O129" s="276"/>
      <c r="P129" s="26"/>
    </row>
    <row r="130" spans="1:16">
      <c r="A130" s="25"/>
      <c r="B130" s="26"/>
      <c r="C130" s="25"/>
      <c r="D130" s="25"/>
      <c r="E130" s="27"/>
      <c r="F130" s="27"/>
      <c r="G130" s="25"/>
      <c r="H130" s="25"/>
      <c r="I130" s="25"/>
      <c r="J130" s="25"/>
      <c r="K130" s="25"/>
      <c r="L130" s="25"/>
      <c r="M130" s="27"/>
      <c r="N130" s="27"/>
      <c r="O130" s="276"/>
      <c r="P130" s="26"/>
    </row>
    <row r="131" spans="1:16">
      <c r="A131" s="25"/>
      <c r="B131" s="26"/>
      <c r="C131" s="25"/>
      <c r="D131" s="25"/>
      <c r="E131" s="27"/>
      <c r="F131" s="27"/>
      <c r="G131" s="25"/>
      <c r="H131" s="25"/>
      <c r="I131" s="25"/>
      <c r="J131" s="25"/>
      <c r="K131" s="25"/>
      <c r="L131" s="25"/>
      <c r="M131" s="27"/>
      <c r="N131" s="27"/>
      <c r="O131" s="276"/>
      <c r="P131" s="26"/>
    </row>
    <row r="132" spans="1:16">
      <c r="A132" s="25"/>
      <c r="B132" s="26"/>
      <c r="C132" s="25"/>
      <c r="D132" s="25"/>
      <c r="E132" s="27"/>
      <c r="F132" s="27"/>
      <c r="G132" s="25"/>
      <c r="H132" s="25"/>
      <c r="I132" s="25"/>
      <c r="J132" s="25"/>
      <c r="K132" s="25"/>
      <c r="L132" s="25"/>
      <c r="M132" s="27"/>
      <c r="N132" s="27"/>
      <c r="O132" s="276"/>
      <c r="P132" s="26"/>
    </row>
    <row r="133" spans="1:16">
      <c r="A133" s="25"/>
      <c r="B133" s="26"/>
      <c r="C133" s="25"/>
      <c r="D133" s="25"/>
      <c r="E133" s="27"/>
      <c r="F133" s="27"/>
      <c r="G133" s="25"/>
      <c r="H133" s="25"/>
      <c r="I133" s="25"/>
      <c r="J133" s="25"/>
      <c r="K133" s="25"/>
      <c r="L133" s="25"/>
      <c r="M133" s="27"/>
      <c r="N133" s="27"/>
      <c r="O133" s="276"/>
      <c r="P133" s="26"/>
    </row>
    <row r="134" spans="1:16">
      <c r="A134" s="25"/>
      <c r="B134" s="26"/>
      <c r="C134" s="25"/>
      <c r="D134" s="25"/>
      <c r="E134" s="27"/>
      <c r="F134" s="27"/>
      <c r="G134" s="25"/>
      <c r="H134" s="25"/>
      <c r="I134" s="25"/>
      <c r="J134" s="25"/>
      <c r="K134" s="25"/>
      <c r="L134" s="25"/>
      <c r="M134" s="27"/>
      <c r="N134" s="27"/>
      <c r="O134" s="276"/>
      <c r="P134" s="26"/>
    </row>
    <row r="135" spans="1:16">
      <c r="A135" s="25"/>
      <c r="B135" s="26"/>
      <c r="C135" s="25"/>
      <c r="D135" s="25"/>
      <c r="E135" s="27"/>
      <c r="F135" s="27"/>
      <c r="G135" s="25"/>
      <c r="H135" s="25"/>
      <c r="I135" s="25"/>
      <c r="J135" s="25"/>
      <c r="K135" s="25"/>
      <c r="L135" s="25"/>
      <c r="M135" s="27"/>
      <c r="N135" s="27"/>
      <c r="O135" s="276"/>
      <c r="P135" s="26"/>
    </row>
    <row r="174" spans="3:3">
      <c r="C174" s="25"/>
    </row>
  </sheetData>
  <mergeCells count="20">
    <mergeCell ref="P6:P7"/>
    <mergeCell ref="J120:L120"/>
    <mergeCell ref="J121:L121"/>
    <mergeCell ref="J122:L122"/>
    <mergeCell ref="F6:F7"/>
    <mergeCell ref="G6:G7"/>
    <mergeCell ref="H6:L6"/>
    <mergeCell ref="M6:M7"/>
    <mergeCell ref="N6:N7"/>
    <mergeCell ref="O6:O7"/>
    <mergeCell ref="A6:A7"/>
    <mergeCell ref="B6:B7"/>
    <mergeCell ref="C6:C7"/>
    <mergeCell ref="D6:D7"/>
    <mergeCell ref="E6:E7"/>
    <mergeCell ref="N2:P2"/>
    <mergeCell ref="C3:L3"/>
    <mergeCell ref="N3:P3"/>
    <mergeCell ref="C4:L4"/>
    <mergeCell ref="N4:P4"/>
  </mergeCells>
  <phoneticPr fontId="0" type="noConversion"/>
  <pageMargins left="0.55118110236220474" right="0.15748031496062992" top="0.43307086614173229" bottom="0.43307086614173229" header="0.51181102362204722" footer="0.51181102362204722"/>
  <pageSetup paperSize="274" scale="85" orientation="landscape" r:id="rId1"/>
  <headerFooter alignWithMargins="0">
    <oddHeader>&amp;Rแผ่นที่  &amp;P</oddHeader>
  </headerFooter>
  <rowBreaks count="1" manualBreakCount="1">
    <brk id="98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T108"/>
  <sheetViews>
    <sheetView workbookViewId="0">
      <pane xSplit="2" ySplit="1" topLeftCell="C32" activePane="bottomRight" state="frozen"/>
      <selection pane="topRight" activeCell="C1" sqref="C1"/>
      <selection pane="bottomLeft" activeCell="A2" sqref="A2"/>
      <selection pane="bottomRight" activeCell="P41" sqref="P41"/>
    </sheetView>
  </sheetViews>
  <sheetFormatPr defaultRowHeight="21"/>
  <cols>
    <col min="1" max="1" width="19.140625" style="243" customWidth="1"/>
    <col min="2" max="2" width="12.7109375" style="246" customWidth="1"/>
    <col min="3" max="19" width="12.7109375" style="1" customWidth="1"/>
    <col min="20" max="20" width="12.140625" style="1" customWidth="1"/>
    <col min="21" max="16384" width="9.140625" style="1"/>
  </cols>
  <sheetData>
    <row r="1" spans="1:20" s="2" customFormat="1">
      <c r="A1" s="243" t="s">
        <v>150</v>
      </c>
      <c r="B1" s="246"/>
      <c r="C1" s="239">
        <v>58349</v>
      </c>
      <c r="D1" s="239">
        <v>58380</v>
      </c>
      <c r="E1" s="239">
        <v>58410</v>
      </c>
      <c r="F1" s="239">
        <v>58441</v>
      </c>
      <c r="G1" s="239">
        <v>58472</v>
      </c>
      <c r="H1" s="239">
        <v>58501</v>
      </c>
      <c r="I1" s="240" t="s">
        <v>154</v>
      </c>
      <c r="J1" s="271" t="s">
        <v>636</v>
      </c>
      <c r="K1" s="271" t="s">
        <v>637</v>
      </c>
      <c r="L1" s="271" t="s">
        <v>638</v>
      </c>
      <c r="M1" s="240" t="s">
        <v>155</v>
      </c>
      <c r="N1" s="240" t="s">
        <v>156</v>
      </c>
      <c r="O1" s="271" t="s">
        <v>639</v>
      </c>
      <c r="P1" s="271" t="s">
        <v>640</v>
      </c>
      <c r="Q1" s="271" t="s">
        <v>641</v>
      </c>
      <c r="R1" s="240" t="s">
        <v>152</v>
      </c>
    </row>
    <row r="2" spans="1:20">
      <c r="A2" s="243" t="s">
        <v>110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</row>
    <row r="3" spans="1:20" ht="42">
      <c r="A3" s="243" t="s">
        <v>227</v>
      </c>
      <c r="B3" s="246">
        <v>200000</v>
      </c>
      <c r="C3" s="272">
        <f>1000+6000+8300</f>
        <v>15300</v>
      </c>
      <c r="D3" s="272">
        <f>6000+8300</f>
        <v>14300</v>
      </c>
      <c r="E3" s="272">
        <f>6000+8300</f>
        <v>14300</v>
      </c>
      <c r="F3" s="272">
        <f>6000+8300</f>
        <v>14300</v>
      </c>
      <c r="G3" s="272">
        <f>8300+6000</f>
        <v>14300</v>
      </c>
      <c r="H3" s="272">
        <f>2500+500+8300+6000</f>
        <v>17300</v>
      </c>
      <c r="I3" s="241">
        <f>SUM(C3:H3)</f>
        <v>89800</v>
      </c>
      <c r="J3" s="272">
        <f>8300+6000</f>
        <v>14300</v>
      </c>
      <c r="K3" s="272">
        <f>8300+6000</f>
        <v>14300</v>
      </c>
      <c r="L3" s="272">
        <f>8300+6000</f>
        <v>14300</v>
      </c>
      <c r="M3" s="241">
        <f>SUM(J3:L3)</f>
        <v>42900</v>
      </c>
      <c r="N3" s="241">
        <f>I3+M3</f>
        <v>132700</v>
      </c>
      <c r="O3" s="272">
        <f>8300+6000</f>
        <v>14300</v>
      </c>
      <c r="P3" s="272">
        <f>8300+6000</f>
        <v>14300</v>
      </c>
      <c r="Q3" s="241">
        <f>8300+6000</f>
        <v>14300</v>
      </c>
      <c r="R3" s="241">
        <f>SUM(O3:Q3)</f>
        <v>42900</v>
      </c>
      <c r="S3" s="241">
        <f>I3+M3+R3</f>
        <v>175600</v>
      </c>
    </row>
    <row r="4" spans="1:20" ht="42">
      <c r="A4" s="243" t="s">
        <v>82</v>
      </c>
      <c r="B4" s="246">
        <v>500000</v>
      </c>
      <c r="C4" s="241"/>
      <c r="D4" s="241"/>
      <c r="E4" s="241"/>
      <c r="F4" s="241"/>
      <c r="G4" s="241"/>
      <c r="H4" s="241"/>
      <c r="I4" s="241">
        <f>SUM(C4:H4)</f>
        <v>0</v>
      </c>
      <c r="J4" s="241"/>
      <c r="K4" s="241"/>
      <c r="L4" s="241"/>
      <c r="M4" s="241">
        <f>SUM(J4:L4)</f>
        <v>0</v>
      </c>
      <c r="N4" s="241">
        <f>I4+M4</f>
        <v>0</v>
      </c>
      <c r="O4" s="241"/>
      <c r="P4" s="241"/>
      <c r="Q4" s="241"/>
      <c r="R4" s="241">
        <f>SUM(O4:Q4)</f>
        <v>0</v>
      </c>
      <c r="S4" s="241">
        <f>I4+M4+R4</f>
        <v>0</v>
      </c>
      <c r="T4" s="1">
        <f>B4-I4-M4-R4</f>
        <v>500000</v>
      </c>
    </row>
    <row r="5" spans="1:20">
      <c r="A5" s="243" t="s">
        <v>570</v>
      </c>
      <c r="B5" s="246">
        <v>100000</v>
      </c>
      <c r="C5" s="241"/>
      <c r="D5" s="241"/>
      <c r="E5" s="241"/>
      <c r="F5" s="241"/>
      <c r="G5" s="241"/>
      <c r="H5" s="241"/>
      <c r="I5" s="241">
        <f t="shared" ref="I5:I68" si="0">SUM(C5:H5)</f>
        <v>0</v>
      </c>
      <c r="J5" s="241"/>
      <c r="K5" s="241"/>
      <c r="L5" s="241"/>
      <c r="M5" s="241">
        <f t="shared" ref="M5:M68" si="1">SUM(J5:L5)</f>
        <v>0</v>
      </c>
      <c r="N5" s="241">
        <f t="shared" ref="N5:N68" si="2">I5+M5</f>
        <v>0</v>
      </c>
      <c r="O5" s="241"/>
      <c r="P5" s="241"/>
      <c r="Q5" s="241"/>
      <c r="R5" s="241">
        <f t="shared" ref="R5:R68" si="3">SUM(O5:Q5)</f>
        <v>0</v>
      </c>
      <c r="S5" s="241">
        <f>I5+M5+R5</f>
        <v>0</v>
      </c>
    </row>
    <row r="6" spans="1:20">
      <c r="A6" s="243" t="s">
        <v>97</v>
      </c>
      <c r="B6" s="246">
        <v>50000</v>
      </c>
      <c r="C6" s="272">
        <v>4901</v>
      </c>
      <c r="D6" s="272">
        <v>6640</v>
      </c>
      <c r="E6" s="241"/>
      <c r="F6" s="272">
        <v>2785</v>
      </c>
      <c r="G6" s="241"/>
      <c r="H6" s="272">
        <v>14713</v>
      </c>
      <c r="I6" s="241">
        <f t="shared" si="0"/>
        <v>29039</v>
      </c>
      <c r="J6" s="241">
        <v>2105</v>
      </c>
      <c r="K6" s="241"/>
      <c r="L6" s="272">
        <v>6808</v>
      </c>
      <c r="M6" s="241">
        <f t="shared" si="1"/>
        <v>8913</v>
      </c>
      <c r="N6" s="241">
        <f t="shared" si="2"/>
        <v>37952</v>
      </c>
      <c r="O6" s="272">
        <f>4500+4505</f>
        <v>9005</v>
      </c>
      <c r="P6" s="272">
        <v>2750</v>
      </c>
      <c r="Q6" s="241"/>
      <c r="R6" s="241">
        <f t="shared" si="3"/>
        <v>11755</v>
      </c>
      <c r="S6" s="241">
        <f>I6+M6+R6</f>
        <v>49707</v>
      </c>
    </row>
    <row r="7" spans="1:20">
      <c r="A7" s="243" t="s">
        <v>571</v>
      </c>
      <c r="B7" s="246">
        <v>130000</v>
      </c>
      <c r="C7" s="241"/>
      <c r="D7" s="272">
        <v>120000</v>
      </c>
      <c r="E7" s="241"/>
      <c r="F7" s="241"/>
      <c r="G7" s="241"/>
      <c r="H7" s="241"/>
      <c r="I7" s="241">
        <f t="shared" si="0"/>
        <v>120000</v>
      </c>
      <c r="J7" s="241"/>
      <c r="K7" s="241"/>
      <c r="L7" s="241"/>
      <c r="M7" s="241">
        <f t="shared" si="1"/>
        <v>0</v>
      </c>
      <c r="N7" s="241">
        <f t="shared" si="2"/>
        <v>120000</v>
      </c>
      <c r="O7" s="241"/>
      <c r="P7" s="241"/>
      <c r="Q7" s="241"/>
      <c r="R7" s="241">
        <f t="shared" si="3"/>
        <v>0</v>
      </c>
      <c r="S7" s="241">
        <f>I7+M7+R7</f>
        <v>120000</v>
      </c>
      <c r="T7" s="1">
        <f>B7-I7-M7-R7</f>
        <v>10000</v>
      </c>
    </row>
    <row r="8" spans="1:20">
      <c r="A8" s="243" t="s">
        <v>419</v>
      </c>
      <c r="B8" s="246">
        <v>99000</v>
      </c>
      <c r="C8" s="241"/>
      <c r="D8" s="272">
        <v>90000</v>
      </c>
      <c r="E8" s="241"/>
      <c r="F8" s="241"/>
      <c r="G8" s="241"/>
      <c r="H8" s="241"/>
      <c r="I8" s="241">
        <f t="shared" si="0"/>
        <v>90000</v>
      </c>
      <c r="J8" s="241"/>
      <c r="K8" s="241"/>
      <c r="L8" s="241"/>
      <c r="M8" s="241">
        <f t="shared" si="1"/>
        <v>0</v>
      </c>
      <c r="N8" s="241">
        <f t="shared" si="2"/>
        <v>90000</v>
      </c>
      <c r="O8" s="241"/>
      <c r="P8" s="241"/>
      <c r="Q8" s="241"/>
      <c r="R8" s="241">
        <f t="shared" si="3"/>
        <v>0</v>
      </c>
      <c r="S8" s="241">
        <f t="shared" ref="S8:S71" si="4">I8+M8+R8</f>
        <v>90000</v>
      </c>
    </row>
    <row r="9" spans="1:20">
      <c r="A9" s="243" t="s">
        <v>418</v>
      </c>
      <c r="B9" s="246">
        <v>40000</v>
      </c>
      <c r="C9" s="241"/>
      <c r="D9" s="272">
        <v>33400</v>
      </c>
      <c r="E9" s="241"/>
      <c r="F9" s="241"/>
      <c r="G9" s="241"/>
      <c r="H9" s="241"/>
      <c r="I9" s="241">
        <f t="shared" si="0"/>
        <v>33400</v>
      </c>
      <c r="J9" s="241"/>
      <c r="K9" s="241"/>
      <c r="L9" s="241"/>
      <c r="M9" s="241">
        <f t="shared" si="1"/>
        <v>0</v>
      </c>
      <c r="N9" s="241">
        <f t="shared" si="2"/>
        <v>33400</v>
      </c>
      <c r="O9" s="241"/>
      <c r="P9" s="241"/>
      <c r="Q9" s="241"/>
      <c r="R9" s="241">
        <f t="shared" si="3"/>
        <v>0</v>
      </c>
      <c r="S9" s="241">
        <f t="shared" si="4"/>
        <v>33400</v>
      </c>
    </row>
    <row r="10" spans="1:20">
      <c r="A10" s="243" t="s">
        <v>572</v>
      </c>
      <c r="B10" s="246">
        <v>20000</v>
      </c>
      <c r="C10" s="241"/>
      <c r="D10" s="241"/>
      <c r="E10" s="241"/>
      <c r="F10" s="272">
        <v>19990</v>
      </c>
      <c r="G10" s="241"/>
      <c r="H10" s="241"/>
      <c r="I10" s="241">
        <f t="shared" si="0"/>
        <v>19990</v>
      </c>
      <c r="J10" s="241"/>
      <c r="K10" s="241"/>
      <c r="L10" s="241"/>
      <c r="M10" s="241">
        <f t="shared" si="1"/>
        <v>0</v>
      </c>
      <c r="N10" s="241">
        <f t="shared" si="2"/>
        <v>19990</v>
      </c>
      <c r="O10" s="241"/>
      <c r="P10" s="241"/>
      <c r="Q10" s="241"/>
      <c r="R10" s="241">
        <f t="shared" si="3"/>
        <v>0</v>
      </c>
      <c r="S10" s="241">
        <f t="shared" si="4"/>
        <v>19990</v>
      </c>
    </row>
    <row r="11" spans="1:20">
      <c r="A11" s="243" t="s">
        <v>414</v>
      </c>
      <c r="B11" s="246">
        <v>48000</v>
      </c>
      <c r="C11" s="241"/>
      <c r="D11" s="241"/>
      <c r="E11" s="241"/>
      <c r="F11" s="241"/>
      <c r="G11" s="272">
        <v>46800</v>
      </c>
      <c r="H11" s="241"/>
      <c r="I11" s="241">
        <f t="shared" si="0"/>
        <v>46800</v>
      </c>
      <c r="J11" s="241"/>
      <c r="K11" s="241"/>
      <c r="L11" s="241"/>
      <c r="M11" s="241">
        <f t="shared" si="1"/>
        <v>0</v>
      </c>
      <c r="N11" s="241">
        <f t="shared" si="2"/>
        <v>46800</v>
      </c>
      <c r="O11" s="241"/>
      <c r="P11" s="241"/>
      <c r="Q11" s="241"/>
      <c r="R11" s="241">
        <f t="shared" si="3"/>
        <v>0</v>
      </c>
      <c r="S11" s="241">
        <f t="shared" si="4"/>
        <v>46800</v>
      </c>
    </row>
    <row r="12" spans="1:20">
      <c r="A12" s="243" t="s">
        <v>416</v>
      </c>
      <c r="B12" s="246">
        <v>9600</v>
      </c>
      <c r="C12" s="241"/>
      <c r="D12" s="241"/>
      <c r="E12" s="241"/>
      <c r="F12" s="241"/>
      <c r="G12" s="272">
        <v>6600</v>
      </c>
      <c r="H12" s="241"/>
      <c r="I12" s="241">
        <f t="shared" si="0"/>
        <v>6600</v>
      </c>
      <c r="J12" s="241"/>
      <c r="K12" s="241"/>
      <c r="L12" s="241"/>
      <c r="M12" s="241">
        <f t="shared" si="1"/>
        <v>0</v>
      </c>
      <c r="N12" s="241">
        <f t="shared" si="2"/>
        <v>6600</v>
      </c>
      <c r="O12" s="241"/>
      <c r="P12" s="241"/>
      <c r="Q12" s="241"/>
      <c r="R12" s="241">
        <f t="shared" si="3"/>
        <v>0</v>
      </c>
      <c r="S12" s="241">
        <f t="shared" si="4"/>
        <v>6600</v>
      </c>
    </row>
    <row r="13" spans="1:20">
      <c r="A13" s="243" t="s">
        <v>573</v>
      </c>
      <c r="B13" s="246">
        <v>50000</v>
      </c>
      <c r="C13" s="241"/>
      <c r="D13" s="241"/>
      <c r="E13" s="241"/>
      <c r="F13" s="241"/>
      <c r="G13" s="241"/>
      <c r="H13" s="241"/>
      <c r="I13" s="241">
        <f t="shared" si="0"/>
        <v>0</v>
      </c>
      <c r="J13" s="241"/>
      <c r="K13" s="241"/>
      <c r="L13" s="241"/>
      <c r="M13" s="241">
        <f t="shared" si="1"/>
        <v>0</v>
      </c>
      <c r="N13" s="241">
        <f t="shared" si="2"/>
        <v>0</v>
      </c>
      <c r="O13" s="241"/>
      <c r="P13" s="241"/>
      <c r="Q13" s="241"/>
      <c r="R13" s="241">
        <f t="shared" si="3"/>
        <v>0</v>
      </c>
      <c r="S13" s="241">
        <f t="shared" si="4"/>
        <v>0</v>
      </c>
    </row>
    <row r="14" spans="1:20">
      <c r="A14" s="243" t="s">
        <v>574</v>
      </c>
      <c r="B14" s="246">
        <v>20000</v>
      </c>
      <c r="C14" s="241"/>
      <c r="D14" s="241"/>
      <c r="E14" s="241"/>
      <c r="F14" s="241"/>
      <c r="G14" s="241"/>
      <c r="H14" s="241"/>
      <c r="I14" s="241">
        <f t="shared" si="0"/>
        <v>0</v>
      </c>
      <c r="J14" s="241"/>
      <c r="K14" s="241"/>
      <c r="L14" s="241"/>
      <c r="M14" s="241">
        <f t="shared" si="1"/>
        <v>0</v>
      </c>
      <c r="N14" s="241">
        <f t="shared" si="2"/>
        <v>0</v>
      </c>
      <c r="O14" s="241"/>
      <c r="P14" s="241"/>
      <c r="Q14" s="241"/>
      <c r="R14" s="241">
        <f t="shared" si="3"/>
        <v>0</v>
      </c>
      <c r="S14" s="241">
        <f t="shared" si="4"/>
        <v>0</v>
      </c>
    </row>
    <row r="15" spans="1:20">
      <c r="A15" s="243" t="s">
        <v>577</v>
      </c>
      <c r="B15" s="246">
        <v>90000</v>
      </c>
      <c r="C15" s="241"/>
      <c r="D15" s="241"/>
      <c r="E15" s="241"/>
      <c r="F15" s="241"/>
      <c r="G15" s="241"/>
      <c r="H15" s="241"/>
      <c r="I15" s="241">
        <f t="shared" si="0"/>
        <v>0</v>
      </c>
      <c r="J15" s="241"/>
      <c r="K15" s="241"/>
      <c r="L15" s="272">
        <v>3750</v>
      </c>
      <c r="M15" s="241">
        <f t="shared" si="1"/>
        <v>3750</v>
      </c>
      <c r="N15" s="241">
        <f t="shared" si="2"/>
        <v>3750</v>
      </c>
      <c r="O15" s="272">
        <f>350+27925</f>
        <v>28275</v>
      </c>
      <c r="P15" s="241"/>
      <c r="Q15" s="241">
        <v>33000</v>
      </c>
      <c r="R15" s="241">
        <f t="shared" si="3"/>
        <v>61275</v>
      </c>
      <c r="S15" s="241">
        <f t="shared" si="4"/>
        <v>65025</v>
      </c>
    </row>
    <row r="16" spans="1:20" ht="42">
      <c r="A16" s="243" t="s">
        <v>579</v>
      </c>
      <c r="B16" s="246">
        <v>35000</v>
      </c>
      <c r="C16" s="241"/>
      <c r="D16" s="241"/>
      <c r="E16" s="241"/>
      <c r="F16" s="241"/>
      <c r="G16" s="241"/>
      <c r="H16" s="241"/>
      <c r="I16" s="241">
        <f t="shared" si="0"/>
        <v>0</v>
      </c>
      <c r="J16" s="241"/>
      <c r="K16" s="241"/>
      <c r="L16" s="241"/>
      <c r="M16" s="241">
        <f t="shared" si="1"/>
        <v>0</v>
      </c>
      <c r="N16" s="241">
        <f t="shared" si="2"/>
        <v>0</v>
      </c>
      <c r="O16" s="241">
        <f>350+2800+2800+2800+2800+2800+2800+2800</f>
        <v>19950</v>
      </c>
      <c r="P16" s="241"/>
      <c r="Q16" s="241"/>
      <c r="R16" s="241">
        <f t="shared" si="3"/>
        <v>19950</v>
      </c>
      <c r="S16" s="241">
        <f t="shared" si="4"/>
        <v>19950</v>
      </c>
    </row>
    <row r="17" spans="1:19" ht="42">
      <c r="A17" s="243" t="s">
        <v>578</v>
      </c>
      <c r="B17" s="246">
        <v>50000</v>
      </c>
      <c r="C17" s="241"/>
      <c r="D17" s="241"/>
      <c r="E17" s="241"/>
      <c r="F17" s="241"/>
      <c r="G17" s="241"/>
      <c r="H17" s="241"/>
      <c r="I17" s="241">
        <f t="shared" si="0"/>
        <v>0</v>
      </c>
      <c r="J17" s="241"/>
      <c r="K17" s="241"/>
      <c r="L17" s="241"/>
      <c r="M17" s="241">
        <f t="shared" si="1"/>
        <v>0</v>
      </c>
      <c r="N17" s="241">
        <f t="shared" si="2"/>
        <v>0</v>
      </c>
      <c r="O17" s="272">
        <f>4940+19600+350</f>
        <v>24890</v>
      </c>
      <c r="P17" s="241"/>
      <c r="Q17" s="241"/>
      <c r="R17" s="241">
        <f t="shared" si="3"/>
        <v>24890</v>
      </c>
      <c r="S17" s="241">
        <f t="shared" si="4"/>
        <v>24890</v>
      </c>
    </row>
    <row r="18" spans="1:19">
      <c r="A18" s="243" t="s">
        <v>580</v>
      </c>
      <c r="B18" s="246">
        <v>15000</v>
      </c>
      <c r="C18" s="241"/>
      <c r="D18" s="241"/>
      <c r="E18" s="241"/>
      <c r="F18" s="241"/>
      <c r="G18" s="241"/>
      <c r="H18" s="272">
        <v>15000</v>
      </c>
      <c r="I18" s="241">
        <f t="shared" si="0"/>
        <v>15000</v>
      </c>
      <c r="J18" s="241"/>
      <c r="K18" s="241"/>
      <c r="L18" s="241"/>
      <c r="M18" s="241">
        <f t="shared" si="1"/>
        <v>0</v>
      </c>
      <c r="N18" s="241">
        <f t="shared" si="2"/>
        <v>15000</v>
      </c>
      <c r="O18" s="241"/>
      <c r="P18" s="241"/>
      <c r="Q18" s="241"/>
      <c r="R18" s="241">
        <f t="shared" si="3"/>
        <v>0</v>
      </c>
      <c r="S18" s="241">
        <f t="shared" si="4"/>
        <v>15000</v>
      </c>
    </row>
    <row r="19" spans="1:19">
      <c r="A19" s="243" t="s">
        <v>581</v>
      </c>
      <c r="B19" s="246">
        <v>30000</v>
      </c>
      <c r="C19" s="241"/>
      <c r="D19" s="241"/>
      <c r="E19" s="241"/>
      <c r="F19" s="241"/>
      <c r="G19" s="241"/>
      <c r="H19" s="241"/>
      <c r="I19" s="241">
        <f t="shared" si="0"/>
        <v>0</v>
      </c>
      <c r="J19" s="241"/>
      <c r="K19" s="241"/>
      <c r="L19" s="241"/>
      <c r="M19" s="241">
        <f t="shared" si="1"/>
        <v>0</v>
      </c>
      <c r="N19" s="241">
        <f t="shared" si="2"/>
        <v>0</v>
      </c>
      <c r="O19" s="241"/>
      <c r="P19" s="241"/>
      <c r="Q19" s="241"/>
      <c r="R19" s="241">
        <f t="shared" si="3"/>
        <v>0</v>
      </c>
      <c r="S19" s="241">
        <f t="shared" si="4"/>
        <v>0</v>
      </c>
    </row>
    <row r="20" spans="1:19">
      <c r="A20" s="243" t="s">
        <v>422</v>
      </c>
      <c r="B20" s="246">
        <v>95000</v>
      </c>
      <c r="C20" s="241"/>
      <c r="D20" s="241"/>
      <c r="E20" s="241"/>
      <c r="F20" s="241"/>
      <c r="G20" s="241"/>
      <c r="H20" s="241"/>
      <c r="I20" s="241">
        <f t="shared" si="0"/>
        <v>0</v>
      </c>
      <c r="J20" s="241"/>
      <c r="K20" s="241"/>
      <c r="L20" s="272">
        <v>18700</v>
      </c>
      <c r="M20" s="241">
        <f t="shared" si="1"/>
        <v>18700</v>
      </c>
      <c r="N20" s="241">
        <f t="shared" si="2"/>
        <v>18700</v>
      </c>
      <c r="O20" s="241"/>
      <c r="P20" s="241"/>
      <c r="Q20" s="241"/>
      <c r="R20" s="241">
        <f t="shared" si="3"/>
        <v>0</v>
      </c>
      <c r="S20" s="241">
        <f t="shared" si="4"/>
        <v>18700</v>
      </c>
    </row>
    <row r="21" spans="1:19">
      <c r="A21" s="243" t="s">
        <v>582</v>
      </c>
      <c r="B21" s="246">
        <v>20000</v>
      </c>
      <c r="C21" s="241"/>
      <c r="D21" s="241"/>
      <c r="E21" s="241"/>
      <c r="F21" s="241"/>
      <c r="G21" s="241"/>
      <c r="H21" s="241"/>
      <c r="I21" s="241">
        <f t="shared" si="0"/>
        <v>0</v>
      </c>
      <c r="J21" s="241"/>
      <c r="K21" s="241"/>
      <c r="L21" s="241"/>
      <c r="M21" s="241">
        <f t="shared" si="1"/>
        <v>0</v>
      </c>
      <c r="N21" s="241">
        <f t="shared" si="2"/>
        <v>0</v>
      </c>
      <c r="O21" s="241"/>
      <c r="P21" s="241"/>
      <c r="Q21" s="241"/>
      <c r="R21" s="241">
        <f t="shared" si="3"/>
        <v>0</v>
      </c>
      <c r="S21" s="241">
        <f t="shared" si="4"/>
        <v>0</v>
      </c>
    </row>
    <row r="22" spans="1:19">
      <c r="A22" s="243" t="s">
        <v>583</v>
      </c>
      <c r="B22" s="246">
        <v>17000</v>
      </c>
      <c r="C22" s="241"/>
      <c r="D22" s="241"/>
      <c r="E22" s="241"/>
      <c r="F22" s="241"/>
      <c r="G22" s="241"/>
      <c r="H22" s="241"/>
      <c r="I22" s="241">
        <f t="shared" si="0"/>
        <v>0</v>
      </c>
      <c r="J22" s="272">
        <v>16799</v>
      </c>
      <c r="K22" s="241"/>
      <c r="L22" s="241"/>
      <c r="M22" s="241">
        <f t="shared" si="1"/>
        <v>16799</v>
      </c>
      <c r="N22" s="241">
        <f t="shared" si="2"/>
        <v>16799</v>
      </c>
      <c r="O22" s="241"/>
      <c r="P22" s="241"/>
      <c r="Q22" s="241"/>
      <c r="R22" s="241">
        <f t="shared" si="3"/>
        <v>0</v>
      </c>
      <c r="S22" s="241">
        <f t="shared" si="4"/>
        <v>16799</v>
      </c>
    </row>
    <row r="23" spans="1:19">
      <c r="A23" s="243" t="s">
        <v>584</v>
      </c>
      <c r="B23" s="246">
        <v>60000</v>
      </c>
      <c r="C23" s="241"/>
      <c r="D23" s="241"/>
      <c r="E23" s="241"/>
      <c r="F23" s="241"/>
      <c r="G23" s="241"/>
      <c r="H23" s="272">
        <v>60000</v>
      </c>
      <c r="I23" s="241">
        <f t="shared" si="0"/>
        <v>60000</v>
      </c>
      <c r="J23" s="241"/>
      <c r="K23" s="241"/>
      <c r="L23" s="241"/>
      <c r="M23" s="241">
        <f t="shared" si="1"/>
        <v>0</v>
      </c>
      <c r="N23" s="241">
        <f t="shared" si="2"/>
        <v>60000</v>
      </c>
      <c r="O23" s="241"/>
      <c r="P23" s="241"/>
      <c r="Q23" s="241"/>
      <c r="R23" s="241">
        <f t="shared" si="3"/>
        <v>0</v>
      </c>
      <c r="S23" s="241">
        <f t="shared" si="4"/>
        <v>60000</v>
      </c>
    </row>
    <row r="24" spans="1:19">
      <c r="A24" s="243" t="s">
        <v>585</v>
      </c>
      <c r="B24" s="246">
        <v>30000</v>
      </c>
      <c r="C24" s="241"/>
      <c r="D24" s="241"/>
      <c r="E24" s="241"/>
      <c r="F24" s="241"/>
      <c r="G24" s="241"/>
      <c r="H24" s="272">
        <v>30000</v>
      </c>
      <c r="I24" s="241">
        <f t="shared" si="0"/>
        <v>30000</v>
      </c>
      <c r="J24" s="241"/>
      <c r="K24" s="241"/>
      <c r="L24" s="241"/>
      <c r="M24" s="241">
        <f t="shared" si="1"/>
        <v>0</v>
      </c>
      <c r="N24" s="241">
        <f t="shared" si="2"/>
        <v>30000</v>
      </c>
      <c r="O24" s="241"/>
      <c r="P24" s="241"/>
      <c r="Q24" s="241"/>
      <c r="R24" s="241">
        <f t="shared" si="3"/>
        <v>0</v>
      </c>
      <c r="S24" s="241">
        <f t="shared" si="4"/>
        <v>30000</v>
      </c>
    </row>
    <row r="25" spans="1:19">
      <c r="A25" s="243" t="s">
        <v>596</v>
      </c>
      <c r="B25" s="246">
        <v>150000</v>
      </c>
      <c r="C25" s="241"/>
      <c r="D25" s="241"/>
      <c r="E25" s="241"/>
      <c r="F25" s="241"/>
      <c r="G25" s="241"/>
      <c r="H25" s="241"/>
      <c r="I25" s="241">
        <f t="shared" si="0"/>
        <v>0</v>
      </c>
      <c r="J25" s="241"/>
      <c r="K25" s="272">
        <v>25000</v>
      </c>
      <c r="L25" s="241"/>
      <c r="M25" s="241">
        <f t="shared" si="1"/>
        <v>25000</v>
      </c>
      <c r="N25" s="241">
        <f t="shared" si="2"/>
        <v>25000</v>
      </c>
      <c r="O25" s="272">
        <v>17710.099999999999</v>
      </c>
      <c r="P25" s="241"/>
      <c r="Q25" s="241"/>
      <c r="R25" s="241">
        <f t="shared" si="3"/>
        <v>17710.099999999999</v>
      </c>
      <c r="S25" s="241">
        <f t="shared" si="4"/>
        <v>42710.1</v>
      </c>
    </row>
    <row r="26" spans="1:19">
      <c r="A26" s="243" t="s">
        <v>597</v>
      </c>
      <c r="B26" s="246">
        <v>87940</v>
      </c>
      <c r="C26" s="241"/>
      <c r="D26" s="241"/>
      <c r="E26" s="241"/>
      <c r="F26" s="241"/>
      <c r="G26" s="241"/>
      <c r="H26" s="241"/>
      <c r="I26" s="241">
        <f t="shared" si="0"/>
        <v>0</v>
      </c>
      <c r="J26" s="241"/>
      <c r="K26" s="272">
        <v>27600</v>
      </c>
      <c r="L26" s="272">
        <v>60340</v>
      </c>
      <c r="M26" s="241">
        <f t="shared" si="1"/>
        <v>87940</v>
      </c>
      <c r="N26" s="241">
        <f t="shared" si="2"/>
        <v>87940</v>
      </c>
      <c r="O26" s="241"/>
      <c r="P26" s="241"/>
      <c r="Q26" s="241"/>
      <c r="R26" s="241">
        <f t="shared" si="3"/>
        <v>0</v>
      </c>
      <c r="S26" s="241">
        <f t="shared" si="4"/>
        <v>87940</v>
      </c>
    </row>
    <row r="27" spans="1:19">
      <c r="A27" s="243" t="s">
        <v>598</v>
      </c>
      <c r="B27" s="246">
        <v>30000</v>
      </c>
      <c r="C27" s="241"/>
      <c r="D27" s="241">
        <v>7960</v>
      </c>
      <c r="E27" s="241"/>
      <c r="F27" s="241"/>
      <c r="G27" s="241"/>
      <c r="H27" s="241"/>
      <c r="I27" s="241">
        <f t="shared" si="0"/>
        <v>7960</v>
      </c>
      <c r="J27" s="241"/>
      <c r="K27" s="241"/>
      <c r="L27" s="241"/>
      <c r="M27" s="241">
        <f t="shared" ref="M27:M33" si="5">SUM(J27:L27)</f>
        <v>0</v>
      </c>
      <c r="N27" s="241">
        <f t="shared" ref="N27:N33" si="6">I27+M27</f>
        <v>7960</v>
      </c>
      <c r="O27" s="241"/>
      <c r="P27" s="241"/>
      <c r="Q27" s="241"/>
      <c r="R27" s="241">
        <f t="shared" si="3"/>
        <v>0</v>
      </c>
      <c r="S27" s="241">
        <f t="shared" si="4"/>
        <v>7960</v>
      </c>
    </row>
    <row r="28" spans="1:19">
      <c r="A28" s="243" t="s">
        <v>420</v>
      </c>
      <c r="B28" s="246">
        <v>200000</v>
      </c>
      <c r="C28" s="241"/>
      <c r="D28" s="272">
        <v>7760</v>
      </c>
      <c r="E28" s="241"/>
      <c r="F28" s="241"/>
      <c r="G28" s="241"/>
      <c r="H28" s="241"/>
      <c r="I28" s="241">
        <f t="shared" si="0"/>
        <v>7760</v>
      </c>
      <c r="J28" s="241"/>
      <c r="K28" s="272">
        <v>1660</v>
      </c>
      <c r="L28" s="272">
        <v>36000</v>
      </c>
      <c r="M28" s="241">
        <f t="shared" si="5"/>
        <v>37660</v>
      </c>
      <c r="N28" s="241">
        <f t="shared" si="6"/>
        <v>45420</v>
      </c>
      <c r="O28" s="241"/>
      <c r="P28" s="241"/>
      <c r="Q28" s="241"/>
      <c r="R28" s="241">
        <f t="shared" si="3"/>
        <v>0</v>
      </c>
      <c r="S28" s="241">
        <f t="shared" si="4"/>
        <v>45420</v>
      </c>
    </row>
    <row r="29" spans="1:19">
      <c r="A29" s="243" t="s">
        <v>599</v>
      </c>
      <c r="B29" s="246">
        <v>59000</v>
      </c>
      <c r="C29" s="241"/>
      <c r="D29" s="241"/>
      <c r="E29" s="241"/>
      <c r="F29" s="241"/>
      <c r="G29" s="241"/>
      <c r="H29" s="241"/>
      <c r="I29" s="241">
        <f t="shared" si="0"/>
        <v>0</v>
      </c>
      <c r="J29" s="241"/>
      <c r="K29" s="272">
        <v>59000</v>
      </c>
      <c r="L29" s="241"/>
      <c r="M29" s="241">
        <f t="shared" si="5"/>
        <v>59000</v>
      </c>
      <c r="N29" s="241">
        <f t="shared" si="6"/>
        <v>59000</v>
      </c>
      <c r="O29" s="241"/>
      <c r="P29" s="241"/>
      <c r="Q29" s="241"/>
      <c r="R29" s="241">
        <f t="shared" si="3"/>
        <v>0</v>
      </c>
      <c r="S29" s="241">
        <f t="shared" si="4"/>
        <v>59000</v>
      </c>
    </row>
    <row r="30" spans="1:19">
      <c r="A30" s="243" t="s">
        <v>603</v>
      </c>
      <c r="B30" s="246">
        <v>50000</v>
      </c>
      <c r="C30" s="241"/>
      <c r="D30" s="241"/>
      <c r="E30" s="241"/>
      <c r="F30" s="241"/>
      <c r="G30" s="241"/>
      <c r="H30" s="241"/>
      <c r="I30" s="241">
        <f t="shared" si="0"/>
        <v>0</v>
      </c>
      <c r="J30" s="241"/>
      <c r="K30" s="272">
        <f>2000+8630+5820+3500</f>
        <v>19950</v>
      </c>
      <c r="L30" s="241"/>
      <c r="M30" s="241">
        <f t="shared" si="5"/>
        <v>19950</v>
      </c>
      <c r="N30" s="241">
        <f t="shared" si="6"/>
        <v>19950</v>
      </c>
      <c r="O30" s="241"/>
      <c r="P30" s="241"/>
      <c r="Q30" s="241"/>
      <c r="R30" s="241">
        <f t="shared" si="3"/>
        <v>0</v>
      </c>
      <c r="S30" s="241">
        <f t="shared" si="4"/>
        <v>19950</v>
      </c>
    </row>
    <row r="31" spans="1:19">
      <c r="A31" s="243" t="s">
        <v>604</v>
      </c>
      <c r="B31" s="246">
        <v>500000</v>
      </c>
      <c r="C31" s="241"/>
      <c r="D31" s="241"/>
      <c r="E31" s="241"/>
      <c r="F31" s="241"/>
      <c r="G31" s="272">
        <f>500+378700+120000</f>
        <v>499200</v>
      </c>
      <c r="H31" s="272"/>
      <c r="I31" s="241">
        <f t="shared" si="0"/>
        <v>499200</v>
      </c>
      <c r="J31" s="241"/>
      <c r="K31" s="241"/>
      <c r="L31" s="241"/>
      <c r="M31" s="241">
        <f t="shared" si="5"/>
        <v>0</v>
      </c>
      <c r="N31" s="241">
        <f t="shared" si="6"/>
        <v>499200</v>
      </c>
      <c r="O31" s="241"/>
      <c r="P31" s="241"/>
      <c r="Q31" s="241"/>
      <c r="R31" s="241">
        <f t="shared" si="3"/>
        <v>0</v>
      </c>
      <c r="S31" s="241">
        <f t="shared" si="4"/>
        <v>499200</v>
      </c>
    </row>
    <row r="32" spans="1:19">
      <c r="A32" s="243" t="s">
        <v>605</v>
      </c>
      <c r="B32" s="246">
        <v>600000</v>
      </c>
      <c r="C32" s="241"/>
      <c r="D32" s="272">
        <f>33000+24000</f>
        <v>57000</v>
      </c>
      <c r="E32" s="241"/>
      <c r="F32" s="272">
        <f>500+219500</f>
        <v>220000</v>
      </c>
      <c r="G32" s="272">
        <v>80000</v>
      </c>
      <c r="H32" s="241"/>
      <c r="I32" s="241">
        <f t="shared" si="0"/>
        <v>357000</v>
      </c>
      <c r="J32" s="241">
        <v>293200</v>
      </c>
      <c r="K32" s="241"/>
      <c r="L32" s="241">
        <v>500</v>
      </c>
      <c r="M32" s="241">
        <f t="shared" si="5"/>
        <v>293700</v>
      </c>
      <c r="N32" s="241">
        <f t="shared" si="6"/>
        <v>650700</v>
      </c>
      <c r="O32" s="241"/>
      <c r="P32" s="241"/>
      <c r="Q32" s="241"/>
      <c r="R32" s="241">
        <f t="shared" si="3"/>
        <v>0</v>
      </c>
      <c r="S32" s="241">
        <f t="shared" si="4"/>
        <v>650700</v>
      </c>
    </row>
    <row r="33" spans="1:20">
      <c r="A33" s="243" t="s">
        <v>169</v>
      </c>
      <c r="B33" s="246">
        <v>394590</v>
      </c>
      <c r="C33" s="241"/>
      <c r="D33" s="272">
        <f>4173+174300</f>
        <v>178473</v>
      </c>
      <c r="E33" s="241"/>
      <c r="F33" s="272">
        <f>39300+47570+350800+494100</f>
        <v>931770</v>
      </c>
      <c r="G33" s="272">
        <f>46000+48300</f>
        <v>94300</v>
      </c>
      <c r="H33" s="272">
        <f>39500+39500+494400+490400+498000</f>
        <v>1561800</v>
      </c>
      <c r="I33" s="241">
        <f t="shared" si="0"/>
        <v>2766343</v>
      </c>
      <c r="J33" s="272">
        <v>23918</v>
      </c>
      <c r="K33" s="272">
        <f>39500+89500</f>
        <v>129000</v>
      </c>
      <c r="L33" s="272">
        <v>39500</v>
      </c>
      <c r="M33" s="241">
        <f t="shared" si="5"/>
        <v>192418</v>
      </c>
      <c r="N33" s="241">
        <f t="shared" si="6"/>
        <v>2958761</v>
      </c>
      <c r="O33" s="272">
        <v>498300</v>
      </c>
      <c r="P33" s="272">
        <f>495200+498000</f>
        <v>993200</v>
      </c>
      <c r="Q33" s="241"/>
      <c r="R33" s="241">
        <f t="shared" si="3"/>
        <v>1491500</v>
      </c>
      <c r="S33" s="241">
        <f t="shared" si="4"/>
        <v>4450261</v>
      </c>
    </row>
    <row r="34" spans="1:20">
      <c r="A34" s="245" t="s">
        <v>111</v>
      </c>
      <c r="C34" s="241"/>
      <c r="D34" s="241"/>
      <c r="E34" s="241"/>
      <c r="F34" s="241"/>
      <c r="G34" s="241"/>
      <c r="H34" s="241"/>
      <c r="I34" s="241">
        <f t="shared" si="0"/>
        <v>0</v>
      </c>
      <c r="J34" s="241"/>
      <c r="K34" s="241"/>
      <c r="L34" s="241"/>
      <c r="M34" s="241">
        <f t="shared" si="1"/>
        <v>0</v>
      </c>
      <c r="N34" s="241">
        <f t="shared" si="2"/>
        <v>0</v>
      </c>
      <c r="O34" s="241"/>
      <c r="P34" s="241"/>
      <c r="Q34" s="241"/>
      <c r="R34" s="241">
        <f t="shared" si="3"/>
        <v>0</v>
      </c>
      <c r="S34" s="241">
        <f t="shared" si="4"/>
        <v>0</v>
      </c>
      <c r="T34" s="1">
        <f>B34-I34-M34-R34</f>
        <v>0</v>
      </c>
    </row>
    <row r="35" spans="1:20" ht="42">
      <c r="A35" s="243" t="s">
        <v>227</v>
      </c>
      <c r="B35" s="246">
        <v>10000</v>
      </c>
      <c r="C35" s="241"/>
      <c r="D35" s="272">
        <f>960+445</f>
        <v>1405</v>
      </c>
      <c r="E35" s="241"/>
      <c r="F35" s="241"/>
      <c r="G35" s="241"/>
      <c r="H35" s="241"/>
      <c r="I35" s="241">
        <f t="shared" si="0"/>
        <v>1405</v>
      </c>
      <c r="J35" s="241"/>
      <c r="K35" s="241"/>
      <c r="L35" s="272">
        <v>3070</v>
      </c>
      <c r="M35" s="241">
        <f t="shared" si="1"/>
        <v>3070</v>
      </c>
      <c r="N35" s="241">
        <f t="shared" si="2"/>
        <v>4475</v>
      </c>
      <c r="O35" s="272">
        <v>795</v>
      </c>
      <c r="P35" s="241"/>
      <c r="Q35" s="241"/>
      <c r="R35" s="241">
        <f t="shared" si="3"/>
        <v>795</v>
      </c>
      <c r="S35" s="241">
        <f t="shared" si="4"/>
        <v>5270</v>
      </c>
    </row>
    <row r="36" spans="1:20">
      <c r="A36" s="243" t="s">
        <v>575</v>
      </c>
      <c r="B36" s="246">
        <v>100000</v>
      </c>
      <c r="C36" s="241"/>
      <c r="D36" s="241"/>
      <c r="E36" s="241"/>
      <c r="F36" s="272">
        <v>18000</v>
      </c>
      <c r="G36" s="272">
        <v>18000</v>
      </c>
      <c r="H36" s="272">
        <v>18000</v>
      </c>
      <c r="I36" s="241">
        <f t="shared" si="0"/>
        <v>54000</v>
      </c>
      <c r="J36" s="272">
        <v>18000</v>
      </c>
      <c r="K36" s="241"/>
      <c r="L36" s="241"/>
      <c r="M36" s="241">
        <f t="shared" si="1"/>
        <v>18000</v>
      </c>
      <c r="N36" s="241">
        <f t="shared" si="2"/>
        <v>72000</v>
      </c>
      <c r="O36" s="241"/>
      <c r="P36" s="241"/>
      <c r="Q36" s="241"/>
      <c r="R36" s="241">
        <f t="shared" si="3"/>
        <v>0</v>
      </c>
      <c r="S36" s="241">
        <f t="shared" si="4"/>
        <v>72000</v>
      </c>
    </row>
    <row r="37" spans="1:20" ht="42">
      <c r="A37" s="243" t="s">
        <v>631</v>
      </c>
      <c r="B37" s="246">
        <v>263400</v>
      </c>
      <c r="C37" s="241"/>
      <c r="D37" s="241"/>
      <c r="E37" s="272">
        <f>1209.1+5130+5000+800</f>
        <v>12139.1</v>
      </c>
      <c r="F37" s="272">
        <f>1209.1+2086.5+588.5+10000+2568</f>
        <v>16452.099999999999</v>
      </c>
      <c r="G37" s="241"/>
      <c r="H37" s="241"/>
      <c r="I37" s="241">
        <f t="shared" si="0"/>
        <v>28591.199999999997</v>
      </c>
      <c r="J37" s="272">
        <f>10000+3100+1700</f>
        <v>14800</v>
      </c>
      <c r="K37" s="272">
        <f>2000+1580</f>
        <v>3580</v>
      </c>
      <c r="L37" s="272">
        <f>1700+520</f>
        <v>2220</v>
      </c>
      <c r="M37" s="241">
        <f t="shared" si="1"/>
        <v>20600</v>
      </c>
      <c r="N37" s="241">
        <f t="shared" si="2"/>
        <v>49191.199999999997</v>
      </c>
      <c r="O37" s="241"/>
      <c r="P37" s="272">
        <f>1947.4+1209.1</f>
        <v>3156.5</v>
      </c>
      <c r="Q37" s="272"/>
      <c r="R37" s="241">
        <f t="shared" si="3"/>
        <v>3156.5</v>
      </c>
      <c r="S37" s="241">
        <f t="shared" si="4"/>
        <v>52347.7</v>
      </c>
    </row>
    <row r="38" spans="1:20" ht="42">
      <c r="A38" s="243" t="s">
        <v>632</v>
      </c>
      <c r="B38" s="246">
        <v>130000</v>
      </c>
      <c r="C38" s="241"/>
      <c r="D38" s="241"/>
      <c r="E38" s="272">
        <f>1450+8680</f>
        <v>10130</v>
      </c>
      <c r="F38" s="241"/>
      <c r="G38" s="272">
        <v>1300</v>
      </c>
      <c r="H38" s="272">
        <v>300</v>
      </c>
      <c r="I38" s="241">
        <f t="shared" si="0"/>
        <v>11730</v>
      </c>
      <c r="J38" s="272">
        <v>300</v>
      </c>
      <c r="K38" s="272">
        <f>1500+300+360+150+1500</f>
        <v>3810</v>
      </c>
      <c r="L38" s="272">
        <f>360+14237.42+2190</f>
        <v>16787.419999999998</v>
      </c>
      <c r="M38" s="241">
        <f t="shared" si="1"/>
        <v>20897.419999999998</v>
      </c>
      <c r="N38" s="241">
        <f t="shared" si="2"/>
        <v>32627.42</v>
      </c>
      <c r="O38" s="241"/>
      <c r="P38" s="241"/>
      <c r="Q38" s="272">
        <f>300+300</f>
        <v>600</v>
      </c>
      <c r="R38" s="241">
        <f t="shared" si="3"/>
        <v>600</v>
      </c>
      <c r="S38" s="241">
        <f t="shared" si="4"/>
        <v>33227.42</v>
      </c>
    </row>
    <row r="39" spans="1:20">
      <c r="A39" s="243" t="s">
        <v>101</v>
      </c>
      <c r="B39" s="246">
        <v>100000</v>
      </c>
      <c r="C39" s="272">
        <f>755+300</f>
        <v>1055</v>
      </c>
      <c r="D39" s="272">
        <f>24100+1400+2131.9+5148+2925+4820+2208+300+150</f>
        <v>43182.9</v>
      </c>
      <c r="E39" s="272">
        <f>4260+2094+300+150+510</f>
        <v>7314</v>
      </c>
      <c r="F39" s="272">
        <f>2090+6354+2296+18600+41000+150+300</f>
        <v>70790</v>
      </c>
      <c r="G39" s="272">
        <f>2747+917+3300+2378+300+150</f>
        <v>9792</v>
      </c>
      <c r="H39" s="272">
        <f>4580+2167+5850+300+150</f>
        <v>13047</v>
      </c>
      <c r="I39" s="241">
        <f t="shared" si="0"/>
        <v>145180.9</v>
      </c>
      <c r="J39" s="272">
        <f>1125+3800+2725+2480+240+300+150</f>
        <v>10820</v>
      </c>
      <c r="K39" s="272">
        <f>2640+60000+300+150+1500</f>
        <v>64590</v>
      </c>
      <c r="L39" s="272">
        <f>2412+3800+300+150+1152+5954</f>
        <v>13768</v>
      </c>
      <c r="M39" s="241">
        <f t="shared" si="1"/>
        <v>89178</v>
      </c>
      <c r="N39" s="241">
        <f t="shared" si="2"/>
        <v>234358.9</v>
      </c>
      <c r="O39" s="272">
        <f>7600+2367+300+150+791</f>
        <v>11208</v>
      </c>
      <c r="P39" s="272">
        <f>2167+300+150</f>
        <v>2617</v>
      </c>
      <c r="Q39" s="272">
        <v>24100</v>
      </c>
      <c r="R39" s="241">
        <f t="shared" si="3"/>
        <v>37925</v>
      </c>
      <c r="S39" s="241">
        <f t="shared" si="4"/>
        <v>272283.90000000002</v>
      </c>
      <c r="T39" s="1">
        <f>B39-S39</f>
        <v>-172283.90000000002</v>
      </c>
    </row>
    <row r="40" spans="1:20" ht="42">
      <c r="A40" s="243" t="s">
        <v>413</v>
      </c>
      <c r="B40" s="246">
        <v>247000</v>
      </c>
      <c r="C40" s="272">
        <v>12450</v>
      </c>
      <c r="D40" s="272">
        <v>9580</v>
      </c>
      <c r="E40" s="272">
        <v>11377.24</v>
      </c>
      <c r="F40" s="272">
        <v>10595.98</v>
      </c>
      <c r="G40" s="241">
        <v>13547.9</v>
      </c>
      <c r="H40" s="241">
        <v>19663.990000000002</v>
      </c>
      <c r="I40" s="241">
        <f t="shared" si="0"/>
        <v>77215.11</v>
      </c>
      <c r="J40" s="272">
        <v>11553.56</v>
      </c>
      <c r="K40" s="272">
        <v>11332.77</v>
      </c>
      <c r="L40" s="272">
        <v>10397.799999999999</v>
      </c>
      <c r="M40" s="241">
        <f t="shared" si="1"/>
        <v>33284.130000000005</v>
      </c>
      <c r="N40" s="241">
        <f t="shared" si="2"/>
        <v>110499.24</v>
      </c>
      <c r="O40" s="272">
        <v>8446.86</v>
      </c>
      <c r="P40" s="241">
        <v>10410.700000000001</v>
      </c>
      <c r="Q40" s="241"/>
      <c r="R40" s="241">
        <f t="shared" si="3"/>
        <v>18857.560000000001</v>
      </c>
      <c r="S40" s="241">
        <f t="shared" si="4"/>
        <v>129356.8</v>
      </c>
    </row>
    <row r="41" spans="1:20">
      <c r="A41" s="243" t="s">
        <v>99</v>
      </c>
      <c r="B41" s="246">
        <v>50000</v>
      </c>
      <c r="C41" s="241"/>
      <c r="D41" s="272">
        <v>1800</v>
      </c>
      <c r="E41" s="241"/>
      <c r="F41" s="241"/>
      <c r="G41" s="272">
        <v>780</v>
      </c>
      <c r="H41" s="241"/>
      <c r="I41" s="241">
        <f t="shared" si="0"/>
        <v>2580</v>
      </c>
      <c r="J41" s="241"/>
      <c r="K41" s="241"/>
      <c r="L41" s="272">
        <v>5180</v>
      </c>
      <c r="M41" s="241">
        <f t="shared" si="1"/>
        <v>5180</v>
      </c>
      <c r="N41" s="241">
        <f t="shared" si="2"/>
        <v>7760</v>
      </c>
      <c r="O41" s="241"/>
      <c r="P41" s="241"/>
      <c r="Q41" s="272">
        <v>900</v>
      </c>
      <c r="R41" s="241">
        <f t="shared" si="3"/>
        <v>900</v>
      </c>
      <c r="S41" s="241">
        <f t="shared" si="4"/>
        <v>8660</v>
      </c>
      <c r="T41" s="1">
        <f>B41-I41-M41-R41</f>
        <v>41340</v>
      </c>
    </row>
    <row r="42" spans="1:20">
      <c r="A42" s="243" t="s">
        <v>414</v>
      </c>
      <c r="B42" s="246">
        <v>16000</v>
      </c>
      <c r="C42" s="241"/>
      <c r="D42" s="241"/>
      <c r="E42" s="241"/>
      <c r="F42" s="241"/>
      <c r="G42" s="272">
        <v>15600</v>
      </c>
      <c r="H42" s="241"/>
      <c r="I42" s="241">
        <f t="shared" si="0"/>
        <v>15600</v>
      </c>
      <c r="J42" s="241"/>
      <c r="K42" s="241"/>
      <c r="L42" s="241"/>
      <c r="M42" s="241">
        <f t="shared" si="1"/>
        <v>0</v>
      </c>
      <c r="N42" s="241">
        <f t="shared" si="2"/>
        <v>15600</v>
      </c>
      <c r="O42" s="241"/>
      <c r="P42" s="241"/>
      <c r="Q42" s="241"/>
      <c r="R42" s="241">
        <f t="shared" si="3"/>
        <v>0</v>
      </c>
      <c r="S42" s="241">
        <f t="shared" si="4"/>
        <v>15600</v>
      </c>
      <c r="T42" s="1">
        <f>B42-I42-M42-R42</f>
        <v>400</v>
      </c>
    </row>
    <row r="43" spans="1:20">
      <c r="A43" s="243" t="s">
        <v>416</v>
      </c>
      <c r="B43" s="246">
        <v>3200</v>
      </c>
      <c r="C43" s="241"/>
      <c r="D43" s="241"/>
      <c r="E43" s="241"/>
      <c r="F43" s="241"/>
      <c r="G43" s="272">
        <v>2200</v>
      </c>
      <c r="H43" s="241"/>
      <c r="I43" s="241">
        <f t="shared" si="0"/>
        <v>2200</v>
      </c>
      <c r="J43" s="241"/>
      <c r="K43" s="241"/>
      <c r="L43" s="241"/>
      <c r="M43" s="241">
        <f t="shared" si="1"/>
        <v>0</v>
      </c>
      <c r="N43" s="241">
        <f t="shared" si="2"/>
        <v>2200</v>
      </c>
      <c r="O43" s="241"/>
      <c r="P43" s="241"/>
      <c r="Q43" s="241"/>
      <c r="R43" s="241">
        <f t="shared" si="3"/>
        <v>0</v>
      </c>
      <c r="S43" s="241">
        <f t="shared" si="4"/>
        <v>2200</v>
      </c>
      <c r="T43" s="1">
        <f>B43-I43-M43-R43</f>
        <v>1000</v>
      </c>
    </row>
    <row r="44" spans="1:20">
      <c r="A44" s="243" t="s">
        <v>415</v>
      </c>
      <c r="B44" s="246">
        <v>4300</v>
      </c>
      <c r="C44" s="241"/>
      <c r="D44" s="241"/>
      <c r="E44" s="241"/>
      <c r="F44" s="241"/>
      <c r="G44" s="272">
        <v>4300</v>
      </c>
      <c r="H44" s="241"/>
      <c r="I44" s="241">
        <f t="shared" si="0"/>
        <v>4300</v>
      </c>
      <c r="J44" s="241"/>
      <c r="K44" s="241"/>
      <c r="L44" s="241"/>
      <c r="M44" s="241">
        <f t="shared" si="1"/>
        <v>0</v>
      </c>
      <c r="N44" s="241">
        <f t="shared" si="2"/>
        <v>4300</v>
      </c>
      <c r="O44" s="241"/>
      <c r="P44" s="241"/>
      <c r="Q44" s="241"/>
      <c r="R44" s="241">
        <f t="shared" si="3"/>
        <v>0</v>
      </c>
      <c r="S44" s="241">
        <f t="shared" si="4"/>
        <v>4300</v>
      </c>
      <c r="T44" s="1">
        <f>B44-I44-M44-R44</f>
        <v>0</v>
      </c>
    </row>
    <row r="45" spans="1:20">
      <c r="A45" s="243" t="s">
        <v>576</v>
      </c>
      <c r="B45" s="246">
        <v>50000</v>
      </c>
      <c r="C45" s="241"/>
      <c r="D45" s="241"/>
      <c r="E45" s="241"/>
      <c r="F45" s="241"/>
      <c r="G45" s="272">
        <v>47900</v>
      </c>
      <c r="H45" s="241"/>
      <c r="I45" s="241">
        <f t="shared" si="0"/>
        <v>47900</v>
      </c>
      <c r="J45" s="241"/>
      <c r="K45" s="241"/>
      <c r="L45" s="241"/>
      <c r="M45" s="241">
        <f t="shared" si="1"/>
        <v>0</v>
      </c>
      <c r="N45" s="241">
        <f t="shared" si="2"/>
        <v>47900</v>
      </c>
      <c r="O45" s="241"/>
      <c r="P45" s="241"/>
      <c r="Q45" s="241"/>
      <c r="R45" s="241">
        <f t="shared" si="3"/>
        <v>0</v>
      </c>
      <c r="S45" s="241">
        <f t="shared" si="4"/>
        <v>47900</v>
      </c>
      <c r="T45" s="1">
        <f>B45-I45-M45-R45</f>
        <v>2100</v>
      </c>
    </row>
    <row r="46" spans="1:20">
      <c r="C46" s="241"/>
      <c r="D46" s="241"/>
      <c r="E46" s="241"/>
      <c r="F46" s="241"/>
      <c r="G46" s="241"/>
      <c r="H46" s="241"/>
      <c r="I46" s="241">
        <f t="shared" si="0"/>
        <v>0</v>
      </c>
      <c r="J46" s="241"/>
      <c r="K46" s="241"/>
      <c r="L46" s="241"/>
      <c r="M46" s="241">
        <f t="shared" si="1"/>
        <v>0</v>
      </c>
      <c r="N46" s="241">
        <f t="shared" si="2"/>
        <v>0</v>
      </c>
      <c r="O46" s="241"/>
      <c r="P46" s="241"/>
      <c r="Q46" s="241"/>
      <c r="R46" s="241">
        <f t="shared" si="3"/>
        <v>0</v>
      </c>
      <c r="S46" s="241">
        <f t="shared" si="4"/>
        <v>0</v>
      </c>
    </row>
    <row r="47" spans="1:20">
      <c r="A47" s="245" t="s">
        <v>417</v>
      </c>
      <c r="C47" s="241"/>
      <c r="D47" s="241"/>
      <c r="E47" s="241"/>
      <c r="F47" s="241"/>
      <c r="G47" s="241"/>
      <c r="H47" s="241"/>
      <c r="I47" s="241">
        <f t="shared" si="0"/>
        <v>0</v>
      </c>
      <c r="J47" s="241"/>
      <c r="K47" s="241"/>
      <c r="L47" s="241"/>
      <c r="M47" s="241">
        <f t="shared" si="1"/>
        <v>0</v>
      </c>
      <c r="N47" s="241">
        <f t="shared" si="2"/>
        <v>0</v>
      </c>
      <c r="O47" s="241"/>
      <c r="P47" s="241"/>
      <c r="Q47" s="241"/>
      <c r="R47" s="241">
        <f t="shared" si="3"/>
        <v>0</v>
      </c>
      <c r="S47" s="241">
        <f t="shared" si="4"/>
        <v>0</v>
      </c>
      <c r="T47" s="1">
        <f>B47-I47-M47-R47</f>
        <v>0</v>
      </c>
    </row>
    <row r="48" spans="1:20">
      <c r="A48" s="243" t="s">
        <v>629</v>
      </c>
      <c r="B48" s="246">
        <v>90000</v>
      </c>
      <c r="C48" s="241"/>
      <c r="D48" s="241"/>
      <c r="E48" s="272">
        <v>89950</v>
      </c>
      <c r="F48" s="241"/>
      <c r="G48" s="241"/>
      <c r="H48" s="241"/>
      <c r="I48" s="241">
        <f>SUM(C48:H48)</f>
        <v>89950</v>
      </c>
      <c r="J48" s="241"/>
      <c r="K48" s="241"/>
      <c r="L48" s="241"/>
      <c r="M48" s="241">
        <f>SUM(J48:L48)</f>
        <v>0</v>
      </c>
      <c r="N48" s="241">
        <f>I48+M48</f>
        <v>89950</v>
      </c>
      <c r="O48" s="241"/>
      <c r="P48" s="241"/>
      <c r="Q48" s="241"/>
      <c r="R48" s="241">
        <f>SUM(O48:Q48)</f>
        <v>0</v>
      </c>
      <c r="S48" s="241">
        <f t="shared" si="4"/>
        <v>89950</v>
      </c>
    </row>
    <row r="49" spans="1:20">
      <c r="A49" s="243" t="s">
        <v>628</v>
      </c>
      <c r="B49" s="246">
        <v>108000</v>
      </c>
      <c r="C49" s="272">
        <v>8880</v>
      </c>
      <c r="D49" s="272">
        <v>8600</v>
      </c>
      <c r="E49" s="272">
        <v>8930</v>
      </c>
      <c r="F49" s="272">
        <v>8880</v>
      </c>
      <c r="G49" s="272">
        <v>8040</v>
      </c>
      <c r="H49" s="241">
        <v>8930</v>
      </c>
      <c r="I49" s="241">
        <f t="shared" si="0"/>
        <v>52260</v>
      </c>
      <c r="J49" s="272">
        <v>8600</v>
      </c>
      <c r="K49" s="272">
        <v>8880</v>
      </c>
      <c r="L49" s="272">
        <v>8650</v>
      </c>
      <c r="M49" s="241">
        <f t="shared" si="1"/>
        <v>26130</v>
      </c>
      <c r="N49" s="241">
        <f t="shared" si="2"/>
        <v>78390</v>
      </c>
      <c r="O49" s="241">
        <v>8880</v>
      </c>
      <c r="P49" s="241">
        <v>8880</v>
      </c>
      <c r="Q49" s="241">
        <v>8650</v>
      </c>
      <c r="R49" s="241">
        <f t="shared" si="3"/>
        <v>26410</v>
      </c>
      <c r="S49" s="241">
        <f t="shared" si="4"/>
        <v>104800</v>
      </c>
    </row>
    <row r="50" spans="1:20">
      <c r="A50" s="243" t="s">
        <v>586</v>
      </c>
      <c r="B50" s="246">
        <v>10000</v>
      </c>
      <c r="C50" s="241"/>
      <c r="D50" s="241"/>
      <c r="E50" s="241"/>
      <c r="F50" s="241"/>
      <c r="G50" s="241"/>
      <c r="H50" s="241"/>
      <c r="I50" s="241">
        <f t="shared" si="0"/>
        <v>0</v>
      </c>
      <c r="J50" s="241"/>
      <c r="K50" s="241"/>
      <c r="L50" s="241"/>
      <c r="M50" s="241">
        <f t="shared" si="1"/>
        <v>0</v>
      </c>
      <c r="N50" s="241">
        <f t="shared" si="2"/>
        <v>0</v>
      </c>
      <c r="O50" s="241"/>
      <c r="P50" s="241"/>
      <c r="Q50" s="241"/>
      <c r="R50" s="241">
        <f t="shared" si="3"/>
        <v>0</v>
      </c>
      <c r="S50" s="241">
        <f t="shared" si="4"/>
        <v>0</v>
      </c>
    </row>
    <row r="51" spans="1:20">
      <c r="A51" s="243" t="s">
        <v>414</v>
      </c>
      <c r="B51" s="246">
        <v>32000</v>
      </c>
      <c r="C51" s="241"/>
      <c r="D51" s="241"/>
      <c r="E51" s="241"/>
      <c r="F51" s="241"/>
      <c r="G51" s="272">
        <v>31200</v>
      </c>
      <c r="H51" s="241"/>
      <c r="I51" s="241">
        <f t="shared" si="0"/>
        <v>31200</v>
      </c>
      <c r="J51" s="241"/>
      <c r="K51" s="241"/>
      <c r="L51" s="241"/>
      <c r="M51" s="241">
        <f t="shared" si="1"/>
        <v>0</v>
      </c>
      <c r="N51" s="241">
        <f t="shared" si="2"/>
        <v>31200</v>
      </c>
      <c r="O51" s="241"/>
      <c r="P51" s="241"/>
      <c r="Q51" s="241"/>
      <c r="R51" s="241">
        <f t="shared" si="3"/>
        <v>0</v>
      </c>
      <c r="S51" s="241">
        <f t="shared" si="4"/>
        <v>31200</v>
      </c>
      <c r="T51" s="1">
        <f t="shared" ref="T51:T58" si="7">B51-I51-M51-R51</f>
        <v>800</v>
      </c>
    </row>
    <row r="52" spans="1:20">
      <c r="A52" s="243" t="s">
        <v>416</v>
      </c>
      <c r="B52" s="246">
        <v>9600</v>
      </c>
      <c r="C52" s="241"/>
      <c r="D52" s="241"/>
      <c r="E52" s="241"/>
      <c r="F52" s="241"/>
      <c r="G52" s="272">
        <v>6600</v>
      </c>
      <c r="H52" s="241"/>
      <c r="I52" s="241">
        <f t="shared" si="0"/>
        <v>6600</v>
      </c>
      <c r="J52" s="241"/>
      <c r="K52" s="241"/>
      <c r="L52" s="241"/>
      <c r="M52" s="241">
        <f t="shared" si="1"/>
        <v>0</v>
      </c>
      <c r="N52" s="241">
        <f t="shared" si="2"/>
        <v>6600</v>
      </c>
      <c r="O52" s="241"/>
      <c r="P52" s="241"/>
      <c r="Q52" s="241"/>
      <c r="R52" s="241">
        <f t="shared" si="3"/>
        <v>0</v>
      </c>
      <c r="S52" s="241">
        <f t="shared" si="4"/>
        <v>6600</v>
      </c>
      <c r="T52" s="1">
        <f t="shared" si="7"/>
        <v>3000</v>
      </c>
    </row>
    <row r="53" spans="1:20">
      <c r="A53" s="243" t="s">
        <v>587</v>
      </c>
      <c r="B53" s="246">
        <v>8600</v>
      </c>
      <c r="C53" s="241"/>
      <c r="D53" s="241"/>
      <c r="E53" s="241"/>
      <c r="F53" s="241"/>
      <c r="G53" s="272">
        <v>8600</v>
      </c>
      <c r="H53" s="241"/>
      <c r="I53" s="241">
        <f t="shared" si="0"/>
        <v>8600</v>
      </c>
      <c r="J53" s="241"/>
      <c r="K53" s="241"/>
      <c r="L53" s="241"/>
      <c r="M53" s="241">
        <f t="shared" si="1"/>
        <v>0</v>
      </c>
      <c r="N53" s="241">
        <f t="shared" si="2"/>
        <v>8600</v>
      </c>
      <c r="O53" s="241"/>
      <c r="P53" s="241"/>
      <c r="Q53" s="241"/>
      <c r="R53" s="241">
        <f t="shared" si="3"/>
        <v>0</v>
      </c>
      <c r="S53" s="241">
        <f t="shared" si="4"/>
        <v>8600</v>
      </c>
      <c r="T53" s="1">
        <f t="shared" si="7"/>
        <v>0</v>
      </c>
    </row>
    <row r="54" spans="1:20">
      <c r="A54" s="243" t="s">
        <v>588</v>
      </c>
      <c r="B54" s="246">
        <v>16000</v>
      </c>
      <c r="C54" s="241"/>
      <c r="D54" s="241"/>
      <c r="E54" s="241"/>
      <c r="F54" s="241"/>
      <c r="G54" s="272">
        <v>15900</v>
      </c>
      <c r="H54" s="241"/>
      <c r="I54" s="241">
        <f t="shared" si="0"/>
        <v>15900</v>
      </c>
      <c r="J54" s="241"/>
      <c r="K54" s="241"/>
      <c r="L54" s="241"/>
      <c r="M54" s="241">
        <f t="shared" si="1"/>
        <v>0</v>
      </c>
      <c r="N54" s="241">
        <f t="shared" si="2"/>
        <v>15900</v>
      </c>
      <c r="O54" s="241"/>
      <c r="P54" s="241"/>
      <c r="Q54" s="241"/>
      <c r="R54" s="241">
        <f t="shared" si="3"/>
        <v>0</v>
      </c>
      <c r="S54" s="241">
        <f t="shared" si="4"/>
        <v>15900</v>
      </c>
      <c r="T54" s="1">
        <f t="shared" si="7"/>
        <v>100</v>
      </c>
    </row>
    <row r="55" spans="1:20">
      <c r="A55" s="243" t="s">
        <v>589</v>
      </c>
      <c r="B55" s="246">
        <v>210000</v>
      </c>
      <c r="C55" s="241"/>
      <c r="D55" s="241"/>
      <c r="E55" s="241"/>
      <c r="F55" s="272">
        <f>18812.74+13651+750+10500+3970+1000+3970+3464+2500+2500+2500+2500+7050+5000+3000+12500</f>
        <v>93667.74</v>
      </c>
      <c r="G55" s="241"/>
      <c r="H55" s="241"/>
      <c r="I55" s="241">
        <f t="shared" si="0"/>
        <v>93667.74</v>
      </c>
      <c r="J55" s="272">
        <f>2140+4500+5537.22+5537.2+2300+1394</f>
        <v>21408.420000000002</v>
      </c>
      <c r="K55" s="272">
        <f>450+1974+3360+2690+1050</f>
        <v>9524</v>
      </c>
      <c r="L55" s="241"/>
      <c r="M55" s="241">
        <f t="shared" si="1"/>
        <v>30932.420000000002</v>
      </c>
      <c r="N55" s="241">
        <f t="shared" si="2"/>
        <v>124600.16</v>
      </c>
      <c r="O55" s="241"/>
      <c r="P55" s="241"/>
      <c r="Q55" s="241"/>
      <c r="R55" s="241">
        <f t="shared" si="3"/>
        <v>0</v>
      </c>
      <c r="S55" s="241">
        <f t="shared" si="4"/>
        <v>124600.16</v>
      </c>
      <c r="T55" s="1">
        <f t="shared" si="7"/>
        <v>85399.84</v>
      </c>
    </row>
    <row r="56" spans="1:20">
      <c r="A56" s="243" t="s">
        <v>590</v>
      </c>
      <c r="B56" s="246">
        <v>58000</v>
      </c>
      <c r="C56" s="241"/>
      <c r="D56" s="241"/>
      <c r="E56" s="272">
        <v>12790</v>
      </c>
      <c r="F56" s="272">
        <v>10500</v>
      </c>
      <c r="G56" s="272">
        <v>1120</v>
      </c>
      <c r="H56" s="241"/>
      <c r="I56" s="241">
        <f t="shared" si="0"/>
        <v>24410</v>
      </c>
      <c r="J56" s="241"/>
      <c r="K56" s="272">
        <f>5200+9600</f>
        <v>14800</v>
      </c>
      <c r="L56" s="272">
        <v>18245</v>
      </c>
      <c r="M56" s="241">
        <f t="shared" si="1"/>
        <v>33045</v>
      </c>
      <c r="N56" s="241">
        <f t="shared" si="2"/>
        <v>57455</v>
      </c>
      <c r="O56" s="241"/>
      <c r="P56" s="241"/>
      <c r="Q56" s="241"/>
      <c r="R56" s="241">
        <f t="shared" si="3"/>
        <v>0</v>
      </c>
      <c r="S56" s="241">
        <f t="shared" si="4"/>
        <v>57455</v>
      </c>
      <c r="T56" s="1">
        <f t="shared" si="7"/>
        <v>545</v>
      </c>
    </row>
    <row r="57" spans="1:20">
      <c r="A57" s="243" t="s">
        <v>591</v>
      </c>
      <c r="B57" s="246">
        <v>177480</v>
      </c>
      <c r="C57" s="272">
        <v>11317.6</v>
      </c>
      <c r="D57" s="272">
        <v>12015.08</v>
      </c>
      <c r="E57" s="272">
        <v>10922.8</v>
      </c>
      <c r="F57" s="272">
        <v>10376.66</v>
      </c>
      <c r="G57" s="241">
        <v>10376.66</v>
      </c>
      <c r="H57" s="241">
        <v>12561.22</v>
      </c>
      <c r="I57" s="241">
        <f t="shared" si="0"/>
        <v>67570.02</v>
      </c>
      <c r="J57" s="241">
        <v>8211.84</v>
      </c>
      <c r="K57" s="272">
        <f>2250.36+5448.24</f>
        <v>7698.6</v>
      </c>
      <c r="L57" s="272">
        <v>9080.4</v>
      </c>
      <c r="M57" s="241">
        <f t="shared" si="1"/>
        <v>24990.84</v>
      </c>
      <c r="N57" s="241">
        <f t="shared" si="2"/>
        <v>92560.86</v>
      </c>
      <c r="O57" s="272">
        <v>8626.3799999999992</v>
      </c>
      <c r="P57" s="241"/>
      <c r="Q57" s="241"/>
      <c r="R57" s="241">
        <f t="shared" si="3"/>
        <v>8626.3799999999992</v>
      </c>
      <c r="S57" s="241">
        <f t="shared" si="4"/>
        <v>101187.24</v>
      </c>
      <c r="T57" s="1">
        <f t="shared" si="7"/>
        <v>76292.759999999995</v>
      </c>
    </row>
    <row r="58" spans="1:20">
      <c r="A58" s="243" t="s">
        <v>592</v>
      </c>
      <c r="B58" s="246">
        <v>423490</v>
      </c>
      <c r="C58" s="241"/>
      <c r="D58" s="272">
        <v>31991.96</v>
      </c>
      <c r="E58" s="272">
        <v>29083.599999999999</v>
      </c>
      <c r="F58" s="272">
        <v>27563.62</v>
      </c>
      <c r="G58" s="272">
        <v>27379.38</v>
      </c>
      <c r="H58" s="241">
        <v>74571.899999999994</v>
      </c>
      <c r="I58" s="241">
        <f t="shared" si="0"/>
        <v>190590.46</v>
      </c>
      <c r="J58" s="241"/>
      <c r="K58" s="272">
        <v>17687.04</v>
      </c>
      <c r="L58" s="272">
        <v>32426.240000000002</v>
      </c>
      <c r="M58" s="241">
        <f t="shared" si="1"/>
        <v>50113.279999999999</v>
      </c>
      <c r="N58" s="241">
        <f t="shared" si="2"/>
        <v>240703.74</v>
      </c>
      <c r="O58" s="272">
        <v>28004.48</v>
      </c>
      <c r="P58" s="241"/>
      <c r="Q58" s="241"/>
      <c r="R58" s="241">
        <f t="shared" si="3"/>
        <v>28004.48</v>
      </c>
      <c r="S58" s="241">
        <f t="shared" si="4"/>
        <v>268708.21999999997</v>
      </c>
      <c r="T58" s="1">
        <f t="shared" si="7"/>
        <v>154781.78</v>
      </c>
    </row>
    <row r="59" spans="1:20">
      <c r="A59" s="243" t="s">
        <v>593</v>
      </c>
      <c r="B59" s="246">
        <v>18000</v>
      </c>
      <c r="C59" s="241"/>
      <c r="D59" s="241"/>
      <c r="E59" s="241"/>
      <c r="F59" s="241"/>
      <c r="G59" s="272">
        <v>3000</v>
      </c>
      <c r="H59" s="241"/>
      <c r="I59" s="241">
        <f t="shared" si="0"/>
        <v>3000</v>
      </c>
      <c r="J59" s="241"/>
      <c r="K59" s="241"/>
      <c r="L59" s="241"/>
      <c r="M59" s="241">
        <f t="shared" si="1"/>
        <v>0</v>
      </c>
      <c r="N59" s="241">
        <f t="shared" si="2"/>
        <v>3000</v>
      </c>
      <c r="O59" s="241"/>
      <c r="P59" s="241"/>
      <c r="Q59" s="241"/>
      <c r="R59" s="241">
        <f t="shared" si="3"/>
        <v>0</v>
      </c>
      <c r="S59" s="241">
        <f t="shared" si="4"/>
        <v>3000</v>
      </c>
    </row>
    <row r="60" spans="1:20" ht="42">
      <c r="A60" s="243" t="s">
        <v>594</v>
      </c>
      <c r="B60" s="246">
        <v>96800</v>
      </c>
      <c r="C60" s="241"/>
      <c r="D60" s="241"/>
      <c r="E60" s="241"/>
      <c r="F60" s="272">
        <v>96300</v>
      </c>
      <c r="G60" s="241"/>
      <c r="H60" s="241"/>
      <c r="I60" s="241">
        <f t="shared" si="0"/>
        <v>96300</v>
      </c>
      <c r="J60" s="241"/>
      <c r="K60" s="241"/>
      <c r="L60" s="241"/>
      <c r="M60" s="241">
        <f t="shared" si="1"/>
        <v>0</v>
      </c>
      <c r="N60" s="241">
        <f t="shared" si="2"/>
        <v>96300</v>
      </c>
      <c r="O60" s="241"/>
      <c r="P60" s="241"/>
      <c r="Q60" s="241"/>
      <c r="R60" s="241">
        <f t="shared" si="3"/>
        <v>0</v>
      </c>
      <c r="S60" s="241">
        <f t="shared" si="4"/>
        <v>96300</v>
      </c>
      <c r="T60" s="1">
        <f t="shared" ref="T60:T65" si="8">B60-I60-M60-R60</f>
        <v>500</v>
      </c>
    </row>
    <row r="61" spans="1:20">
      <c r="A61" s="243" t="s">
        <v>595</v>
      </c>
      <c r="B61" s="246">
        <v>150000</v>
      </c>
      <c r="C61" s="241"/>
      <c r="D61" s="241"/>
      <c r="E61" s="241"/>
      <c r="F61" s="241"/>
      <c r="G61" s="241"/>
      <c r="H61" s="241"/>
      <c r="I61" s="241">
        <f t="shared" si="0"/>
        <v>0</v>
      </c>
      <c r="J61" s="241"/>
      <c r="K61" s="241"/>
      <c r="L61" s="272">
        <v>149500</v>
      </c>
      <c r="M61" s="241">
        <f t="shared" si="1"/>
        <v>149500</v>
      </c>
      <c r="N61" s="241">
        <f t="shared" si="2"/>
        <v>149500</v>
      </c>
      <c r="O61" s="241"/>
      <c r="P61" s="241"/>
      <c r="Q61" s="241"/>
      <c r="R61" s="241">
        <f t="shared" si="3"/>
        <v>0</v>
      </c>
      <c r="S61" s="241">
        <f t="shared" si="4"/>
        <v>149500</v>
      </c>
      <c r="T61" s="1">
        <f t="shared" si="8"/>
        <v>500</v>
      </c>
    </row>
    <row r="62" spans="1:20">
      <c r="A62" s="243" t="s">
        <v>600</v>
      </c>
      <c r="B62" s="246">
        <v>550000</v>
      </c>
      <c r="C62" s="241"/>
      <c r="D62" s="241"/>
      <c r="E62" s="241"/>
      <c r="F62" s="241"/>
      <c r="G62" s="241"/>
      <c r="H62" s="241"/>
      <c r="I62" s="241">
        <f t="shared" si="0"/>
        <v>0</v>
      </c>
      <c r="J62" s="241"/>
      <c r="K62" s="241"/>
      <c r="L62" s="241"/>
      <c r="M62" s="241">
        <f t="shared" si="1"/>
        <v>0</v>
      </c>
      <c r="N62" s="241">
        <f t="shared" si="2"/>
        <v>0</v>
      </c>
      <c r="O62" s="241"/>
      <c r="P62" s="241"/>
      <c r="Q62" s="241"/>
      <c r="R62" s="241">
        <f t="shared" si="3"/>
        <v>0</v>
      </c>
      <c r="S62" s="241">
        <f t="shared" si="4"/>
        <v>0</v>
      </c>
      <c r="T62" s="1">
        <f t="shared" si="8"/>
        <v>550000</v>
      </c>
    </row>
    <row r="63" spans="1:20">
      <c r="A63" s="243" t="s">
        <v>601</v>
      </c>
      <c r="B63" s="246">
        <v>5000</v>
      </c>
      <c r="C63" s="241"/>
      <c r="D63" s="241"/>
      <c r="E63" s="241"/>
      <c r="F63" s="241"/>
      <c r="G63" s="241"/>
      <c r="H63" s="241"/>
      <c r="I63" s="241">
        <f t="shared" si="0"/>
        <v>0</v>
      </c>
      <c r="J63" s="241"/>
      <c r="K63" s="241"/>
      <c r="L63" s="241"/>
      <c r="M63" s="241">
        <f t="shared" si="1"/>
        <v>0</v>
      </c>
      <c r="N63" s="241">
        <f t="shared" si="2"/>
        <v>0</v>
      </c>
      <c r="O63" s="272">
        <f>300+1329</f>
        <v>1629</v>
      </c>
      <c r="P63" s="241"/>
      <c r="Q63" s="241"/>
      <c r="R63" s="241">
        <f t="shared" si="3"/>
        <v>1629</v>
      </c>
      <c r="S63" s="241">
        <f t="shared" si="4"/>
        <v>1629</v>
      </c>
      <c r="T63" s="1">
        <f t="shared" si="8"/>
        <v>3371</v>
      </c>
    </row>
    <row r="64" spans="1:20">
      <c r="A64" s="243" t="s">
        <v>602</v>
      </c>
      <c r="B64" s="246">
        <v>5000</v>
      </c>
      <c r="C64" s="241"/>
      <c r="D64" s="241"/>
      <c r="E64" s="241"/>
      <c r="F64" s="241"/>
      <c r="G64" s="241"/>
      <c r="H64" s="241"/>
      <c r="I64" s="241">
        <f t="shared" si="0"/>
        <v>0</v>
      </c>
      <c r="J64" s="241"/>
      <c r="K64" s="241"/>
      <c r="L64" s="241"/>
      <c r="M64" s="241">
        <f t="shared" si="1"/>
        <v>0</v>
      </c>
      <c r="N64" s="241">
        <f t="shared" si="2"/>
        <v>0</v>
      </c>
      <c r="O64" s="272">
        <f>300+1403.16</f>
        <v>1703.16</v>
      </c>
      <c r="P64" s="241"/>
      <c r="Q64" s="241"/>
      <c r="R64" s="241">
        <f t="shared" si="3"/>
        <v>1703.16</v>
      </c>
      <c r="S64" s="241">
        <f t="shared" si="4"/>
        <v>1703.16</v>
      </c>
      <c r="T64" s="1">
        <f t="shared" si="8"/>
        <v>3296.84</v>
      </c>
    </row>
    <row r="65" spans="1:20">
      <c r="A65" s="243" t="s">
        <v>606</v>
      </c>
      <c r="B65" s="246">
        <v>188000</v>
      </c>
      <c r="C65" s="241"/>
      <c r="D65" s="241"/>
      <c r="E65" s="272">
        <f>2130+2880+1800+1080+550+12500+97845</f>
        <v>118785</v>
      </c>
      <c r="F65" s="241"/>
      <c r="G65" s="241"/>
      <c r="H65" s="241"/>
      <c r="I65" s="241">
        <f t="shared" si="0"/>
        <v>118785</v>
      </c>
      <c r="J65" s="272">
        <f>395+450+3127+230+3360</f>
        <v>7562</v>
      </c>
      <c r="K65" s="241"/>
      <c r="L65" s="241"/>
      <c r="M65" s="241">
        <f t="shared" si="1"/>
        <v>7562</v>
      </c>
      <c r="N65" s="241">
        <f t="shared" si="2"/>
        <v>126347</v>
      </c>
      <c r="O65" s="241"/>
      <c r="P65" s="241"/>
      <c r="Q65" s="241"/>
      <c r="R65" s="241">
        <f t="shared" si="3"/>
        <v>0</v>
      </c>
      <c r="S65" s="241">
        <f t="shared" si="4"/>
        <v>126347</v>
      </c>
      <c r="T65" s="1">
        <f t="shared" si="8"/>
        <v>61653</v>
      </c>
    </row>
    <row r="66" spans="1:20" ht="42">
      <c r="A66" s="243" t="s">
        <v>607</v>
      </c>
      <c r="B66" s="246">
        <v>16000</v>
      </c>
      <c r="C66" s="241"/>
      <c r="D66" s="241"/>
      <c r="E66" s="241"/>
      <c r="F66" s="241"/>
      <c r="G66" s="241"/>
      <c r="H66" s="241"/>
      <c r="I66" s="241">
        <f t="shared" si="0"/>
        <v>0</v>
      </c>
      <c r="J66" s="272">
        <v>600</v>
      </c>
      <c r="K66" s="272">
        <v>1018</v>
      </c>
      <c r="L66" s="272">
        <f>3240+2080+682+2800</f>
        <v>8802</v>
      </c>
      <c r="M66" s="241">
        <f>SUM(J66:L66)</f>
        <v>10420</v>
      </c>
      <c r="N66" s="241">
        <f t="shared" si="2"/>
        <v>10420</v>
      </c>
      <c r="O66" s="272">
        <f>2100+450</f>
        <v>2550</v>
      </c>
      <c r="P66" s="272">
        <v>1600</v>
      </c>
      <c r="Q66" s="241"/>
      <c r="R66" s="241">
        <f t="shared" si="3"/>
        <v>4150</v>
      </c>
      <c r="S66" s="241">
        <f t="shared" si="4"/>
        <v>14570</v>
      </c>
    </row>
    <row r="67" spans="1:20">
      <c r="A67" s="243" t="s">
        <v>608</v>
      </c>
      <c r="B67" s="246">
        <v>470000</v>
      </c>
      <c r="C67" s="241"/>
      <c r="D67" s="241"/>
      <c r="E67" s="241"/>
      <c r="F67" s="241"/>
      <c r="G67" s="241"/>
      <c r="H67" s="241"/>
      <c r="I67" s="241">
        <f t="shared" si="0"/>
        <v>0</v>
      </c>
      <c r="J67" s="272">
        <f>2790+520+1680+11600+19600+2360+150000+7010</f>
        <v>195560</v>
      </c>
      <c r="K67" s="241"/>
      <c r="L67" s="241"/>
      <c r="M67" s="241">
        <f t="shared" si="1"/>
        <v>195560</v>
      </c>
      <c r="N67" s="241">
        <f t="shared" si="2"/>
        <v>195560</v>
      </c>
      <c r="O67" s="241"/>
      <c r="P67" s="241"/>
      <c r="Q67" s="241"/>
      <c r="R67" s="241">
        <f t="shared" si="3"/>
        <v>0</v>
      </c>
      <c r="S67" s="241">
        <f t="shared" si="4"/>
        <v>195560</v>
      </c>
    </row>
    <row r="68" spans="1:20">
      <c r="A68" s="243" t="s">
        <v>609</v>
      </c>
      <c r="B68" s="246">
        <v>10000</v>
      </c>
      <c r="C68" s="241"/>
      <c r="D68" s="241"/>
      <c r="E68" s="241"/>
      <c r="F68" s="241"/>
      <c r="G68" s="241"/>
      <c r="H68" s="241"/>
      <c r="I68" s="241">
        <f t="shared" si="0"/>
        <v>0</v>
      </c>
      <c r="J68" s="241"/>
      <c r="K68" s="241"/>
      <c r="L68" s="241"/>
      <c r="M68" s="241">
        <f t="shared" si="1"/>
        <v>0</v>
      </c>
      <c r="N68" s="241">
        <f t="shared" si="2"/>
        <v>0</v>
      </c>
      <c r="O68" s="241"/>
      <c r="P68" s="241"/>
      <c r="Q68" s="241"/>
      <c r="R68" s="241">
        <f t="shared" si="3"/>
        <v>0</v>
      </c>
      <c r="S68" s="241">
        <f t="shared" si="4"/>
        <v>0</v>
      </c>
    </row>
    <row r="69" spans="1:20"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>
        <f t="shared" si="4"/>
        <v>0</v>
      </c>
    </row>
    <row r="70" spans="1:20">
      <c r="A70" s="245" t="s">
        <v>168</v>
      </c>
      <c r="C70" s="241"/>
      <c r="D70" s="241"/>
      <c r="E70" s="241"/>
      <c r="F70" s="241"/>
      <c r="G70" s="241"/>
      <c r="H70" s="241"/>
      <c r="I70" s="241">
        <f t="shared" ref="I70:I98" si="9">SUM(C70:H70)</f>
        <v>0</v>
      </c>
      <c r="J70" s="241"/>
      <c r="K70" s="241"/>
      <c r="L70" s="241"/>
      <c r="M70" s="241">
        <f t="shared" ref="M70:M98" si="10">SUM(J70:L70)</f>
        <v>0</v>
      </c>
      <c r="N70" s="241">
        <f t="shared" ref="N70:N98" si="11">I70+M70</f>
        <v>0</v>
      </c>
      <c r="O70" s="241"/>
      <c r="P70" s="241"/>
      <c r="Q70" s="241"/>
      <c r="R70" s="241">
        <f t="shared" ref="R70:R98" si="12">SUM(O70:Q70)</f>
        <v>0</v>
      </c>
      <c r="S70" s="241">
        <f t="shared" si="4"/>
        <v>0</v>
      </c>
      <c r="T70" s="1">
        <f>B70-I70-M70-R70</f>
        <v>0</v>
      </c>
    </row>
    <row r="71" spans="1:20" ht="42">
      <c r="A71" s="243" t="s">
        <v>227</v>
      </c>
      <c r="B71" s="246">
        <v>450000</v>
      </c>
      <c r="C71" s="241"/>
      <c r="D71" s="272">
        <v>16500</v>
      </c>
      <c r="E71" s="241"/>
      <c r="F71" s="272">
        <f>3000+11500</f>
        <v>14500</v>
      </c>
      <c r="G71" s="272">
        <v>11500</v>
      </c>
      <c r="H71" s="241"/>
      <c r="I71" s="241">
        <f t="shared" si="9"/>
        <v>42500</v>
      </c>
      <c r="J71" s="241"/>
      <c r="K71" s="241"/>
      <c r="L71" s="241"/>
      <c r="M71" s="241">
        <f t="shared" si="10"/>
        <v>0</v>
      </c>
      <c r="N71" s="241">
        <f t="shared" si="11"/>
        <v>42500</v>
      </c>
      <c r="O71" s="241">
        <v>310000</v>
      </c>
      <c r="P71" s="272">
        <v>2400</v>
      </c>
      <c r="Q71" s="241">
        <v>97700</v>
      </c>
      <c r="R71" s="241">
        <f t="shared" si="12"/>
        <v>410100</v>
      </c>
      <c r="S71" s="241">
        <f t="shared" si="4"/>
        <v>452600</v>
      </c>
      <c r="T71" s="1">
        <f>B71-I71-M71-R71</f>
        <v>-2600</v>
      </c>
    </row>
    <row r="72" spans="1:20">
      <c r="A72" s="243" t="s">
        <v>96</v>
      </c>
      <c r="B72" s="246">
        <v>150000</v>
      </c>
      <c r="C72" s="241"/>
      <c r="D72" s="241"/>
      <c r="E72" s="241"/>
      <c r="F72" s="241"/>
      <c r="G72" s="241"/>
      <c r="H72" s="241"/>
      <c r="I72" s="241">
        <f t="shared" si="9"/>
        <v>0</v>
      </c>
      <c r="J72" s="241"/>
      <c r="K72" s="241"/>
      <c r="L72" s="272">
        <f>1000+47615+1900</f>
        <v>50515</v>
      </c>
      <c r="M72" s="241">
        <f t="shared" si="10"/>
        <v>50515</v>
      </c>
      <c r="N72" s="241">
        <f t="shared" si="11"/>
        <v>50515</v>
      </c>
      <c r="O72" s="241"/>
      <c r="P72" s="241"/>
      <c r="Q72" s="272">
        <v>2346</v>
      </c>
      <c r="R72" s="241">
        <f t="shared" si="12"/>
        <v>2346</v>
      </c>
      <c r="S72" s="241">
        <f t="shared" ref="S72:S98" si="13">I72+M72+R72</f>
        <v>52861</v>
      </c>
      <c r="T72" s="1">
        <f>B72-I72-M72-R72</f>
        <v>97139</v>
      </c>
    </row>
    <row r="73" spans="1:20">
      <c r="A73" s="243" t="s">
        <v>164</v>
      </c>
      <c r="B73" s="246">
        <v>423973.74</v>
      </c>
      <c r="C73" s="241"/>
      <c r="D73" s="241"/>
      <c r="E73" s="241"/>
      <c r="F73" s="241"/>
      <c r="G73" s="241"/>
      <c r="H73" s="241"/>
      <c r="I73" s="241">
        <f t="shared" si="9"/>
        <v>0</v>
      </c>
      <c r="J73" s="241"/>
      <c r="K73" s="272">
        <v>14073</v>
      </c>
      <c r="L73" s="272">
        <v>3875</v>
      </c>
      <c r="M73" s="241">
        <f t="shared" si="10"/>
        <v>17948</v>
      </c>
      <c r="N73" s="241">
        <f t="shared" si="11"/>
        <v>17948</v>
      </c>
      <c r="O73" s="241"/>
      <c r="P73" s="241"/>
      <c r="Q73" s="272">
        <f>2480+349700</f>
        <v>352180</v>
      </c>
      <c r="R73" s="241">
        <f t="shared" si="12"/>
        <v>352180</v>
      </c>
      <c r="S73" s="241">
        <f t="shared" si="13"/>
        <v>370128</v>
      </c>
      <c r="T73" s="1">
        <f>B73-I73-M73-R73</f>
        <v>53845.739999999991</v>
      </c>
    </row>
    <row r="74" spans="1:20">
      <c r="A74" s="243" t="s">
        <v>610</v>
      </c>
      <c r="B74" s="246">
        <v>100000</v>
      </c>
      <c r="C74" s="241"/>
      <c r="D74" s="241"/>
      <c r="E74" s="241"/>
      <c r="F74" s="241"/>
      <c r="G74" s="241"/>
      <c r="H74" s="241"/>
      <c r="I74" s="241">
        <f t="shared" si="9"/>
        <v>0</v>
      </c>
      <c r="J74" s="241"/>
      <c r="K74" s="241"/>
      <c r="L74" s="241">
        <v>150000</v>
      </c>
      <c r="M74" s="241">
        <f t="shared" si="10"/>
        <v>150000</v>
      </c>
      <c r="N74" s="241">
        <f t="shared" si="11"/>
        <v>150000</v>
      </c>
      <c r="O74" s="241"/>
      <c r="P74" s="241"/>
      <c r="Q74" s="241"/>
      <c r="R74" s="241">
        <f t="shared" si="12"/>
        <v>0</v>
      </c>
      <c r="S74" s="241">
        <f t="shared" si="13"/>
        <v>150000</v>
      </c>
    </row>
    <row r="75" spans="1:20">
      <c r="A75" s="243" t="s">
        <v>414</v>
      </c>
      <c r="B75" s="246">
        <v>32000</v>
      </c>
      <c r="C75" s="241"/>
      <c r="D75" s="241"/>
      <c r="E75" s="241"/>
      <c r="F75" s="241"/>
      <c r="G75" s="272">
        <v>31200</v>
      </c>
      <c r="H75" s="241"/>
      <c r="I75" s="241">
        <f t="shared" si="9"/>
        <v>31200</v>
      </c>
      <c r="J75" s="241"/>
      <c r="K75" s="241"/>
      <c r="L75" s="241"/>
      <c r="M75" s="241">
        <f t="shared" si="10"/>
        <v>0</v>
      </c>
      <c r="N75" s="241">
        <f t="shared" si="11"/>
        <v>31200</v>
      </c>
      <c r="O75" s="241"/>
      <c r="P75" s="241"/>
      <c r="Q75" s="241"/>
      <c r="R75" s="241">
        <f t="shared" si="12"/>
        <v>0</v>
      </c>
      <c r="S75" s="241">
        <f t="shared" si="13"/>
        <v>31200</v>
      </c>
    </row>
    <row r="76" spans="1:20">
      <c r="A76" s="243" t="s">
        <v>416</v>
      </c>
      <c r="B76" s="246">
        <v>6400</v>
      </c>
      <c r="C76" s="241"/>
      <c r="D76" s="241"/>
      <c r="E76" s="241"/>
      <c r="F76" s="241"/>
      <c r="G76" s="272">
        <v>4400</v>
      </c>
      <c r="H76" s="241"/>
      <c r="I76" s="241">
        <f t="shared" si="9"/>
        <v>4400</v>
      </c>
      <c r="J76" s="241"/>
      <c r="K76" s="241"/>
      <c r="L76" s="241"/>
      <c r="M76" s="241">
        <f t="shared" si="10"/>
        <v>0</v>
      </c>
      <c r="N76" s="241">
        <f t="shared" si="11"/>
        <v>4400</v>
      </c>
      <c r="O76" s="241"/>
      <c r="P76" s="241"/>
      <c r="Q76" s="241"/>
      <c r="R76" s="241">
        <f t="shared" si="12"/>
        <v>0</v>
      </c>
      <c r="S76" s="241">
        <f t="shared" si="13"/>
        <v>4400</v>
      </c>
    </row>
    <row r="77" spans="1:20">
      <c r="A77" s="243" t="s">
        <v>611</v>
      </c>
      <c r="B77" s="246">
        <v>197000</v>
      </c>
      <c r="C77" s="241"/>
      <c r="D77" s="272">
        <v>39400</v>
      </c>
      <c r="E77" s="272">
        <v>130700</v>
      </c>
      <c r="F77" s="241"/>
      <c r="G77" s="241"/>
      <c r="H77" s="241"/>
      <c r="I77" s="241">
        <f t="shared" si="9"/>
        <v>170100</v>
      </c>
      <c r="J77" s="241"/>
      <c r="K77" s="241"/>
      <c r="L77" s="241"/>
      <c r="M77" s="241">
        <f t="shared" si="10"/>
        <v>0</v>
      </c>
      <c r="N77" s="241">
        <f t="shared" si="11"/>
        <v>170100</v>
      </c>
      <c r="O77" s="241"/>
      <c r="P77" s="241"/>
      <c r="Q77" s="241"/>
      <c r="R77" s="241">
        <f t="shared" si="12"/>
        <v>0</v>
      </c>
      <c r="S77" s="241">
        <f t="shared" si="13"/>
        <v>170100</v>
      </c>
    </row>
    <row r="78" spans="1:20" ht="42">
      <c r="A78" s="243" t="s">
        <v>630</v>
      </c>
      <c r="B78" s="246">
        <v>265000</v>
      </c>
      <c r="C78" s="241"/>
      <c r="D78" s="241"/>
      <c r="E78" s="241"/>
      <c r="F78" s="241"/>
      <c r="G78" s="272">
        <v>196000</v>
      </c>
      <c r="H78" s="241"/>
      <c r="I78" s="241">
        <f t="shared" si="9"/>
        <v>196000</v>
      </c>
      <c r="J78" s="241"/>
      <c r="K78" s="241"/>
      <c r="L78" s="241"/>
      <c r="M78" s="241">
        <f t="shared" si="10"/>
        <v>0</v>
      </c>
      <c r="N78" s="241">
        <f t="shared" si="11"/>
        <v>196000</v>
      </c>
      <c r="O78" s="241"/>
      <c r="P78" s="241"/>
      <c r="Q78" s="241"/>
      <c r="R78" s="241">
        <f t="shared" si="12"/>
        <v>0</v>
      </c>
      <c r="S78" s="241">
        <f t="shared" si="13"/>
        <v>196000</v>
      </c>
      <c r="T78" s="1">
        <f>B78-I78-M78-R78</f>
        <v>69000</v>
      </c>
    </row>
    <row r="79" spans="1:20">
      <c r="A79" s="243" t="s">
        <v>612</v>
      </c>
      <c r="B79" s="246">
        <v>99300</v>
      </c>
      <c r="C79" s="241"/>
      <c r="D79" s="241"/>
      <c r="E79" s="272">
        <v>99300</v>
      </c>
      <c r="F79" s="241"/>
      <c r="G79" s="241"/>
      <c r="H79" s="241"/>
      <c r="I79" s="241">
        <f t="shared" si="9"/>
        <v>99300</v>
      </c>
      <c r="J79" s="241"/>
      <c r="K79" s="241"/>
      <c r="L79" s="241"/>
      <c r="M79" s="241">
        <f t="shared" si="10"/>
        <v>0</v>
      </c>
      <c r="N79" s="241">
        <f t="shared" si="11"/>
        <v>99300</v>
      </c>
      <c r="O79" s="241"/>
      <c r="P79" s="241"/>
      <c r="Q79" s="241"/>
      <c r="R79" s="241">
        <f t="shared" si="12"/>
        <v>0</v>
      </c>
      <c r="S79" s="241">
        <f t="shared" si="13"/>
        <v>99300</v>
      </c>
    </row>
    <row r="80" spans="1:20" ht="42">
      <c r="A80" s="243" t="s">
        <v>613</v>
      </c>
      <c r="B80" s="246">
        <v>121200</v>
      </c>
      <c r="C80" s="241"/>
      <c r="D80" s="241"/>
      <c r="E80" s="272">
        <v>121200</v>
      </c>
      <c r="F80" s="241"/>
      <c r="G80" s="241"/>
      <c r="H80" s="241"/>
      <c r="I80" s="241">
        <f t="shared" si="9"/>
        <v>121200</v>
      </c>
      <c r="J80" s="241"/>
      <c r="K80" s="241"/>
      <c r="L80" s="241"/>
      <c r="M80" s="241">
        <f t="shared" si="10"/>
        <v>0</v>
      </c>
      <c r="N80" s="241">
        <f t="shared" si="11"/>
        <v>121200</v>
      </c>
      <c r="O80" s="241"/>
      <c r="P80" s="241"/>
      <c r="Q80" s="241"/>
      <c r="R80" s="241">
        <f t="shared" si="12"/>
        <v>0</v>
      </c>
      <c r="S80" s="241">
        <f t="shared" si="13"/>
        <v>121200</v>
      </c>
    </row>
    <row r="81" spans="1:19">
      <c r="A81" s="243" t="s">
        <v>614</v>
      </c>
      <c r="B81" s="246">
        <v>99700</v>
      </c>
      <c r="C81" s="241"/>
      <c r="D81" s="241"/>
      <c r="E81" s="272">
        <v>99700</v>
      </c>
      <c r="F81" s="241"/>
      <c r="G81" s="241"/>
      <c r="H81" s="241"/>
      <c r="I81" s="241">
        <f t="shared" si="9"/>
        <v>99700</v>
      </c>
      <c r="J81" s="241"/>
      <c r="K81" s="241"/>
      <c r="L81" s="241"/>
      <c r="M81" s="241">
        <f t="shared" si="10"/>
        <v>0</v>
      </c>
      <c r="N81" s="241">
        <f t="shared" si="11"/>
        <v>99700</v>
      </c>
      <c r="O81" s="241"/>
      <c r="P81" s="241"/>
      <c r="Q81" s="241"/>
      <c r="R81" s="241">
        <f t="shared" si="12"/>
        <v>0</v>
      </c>
      <c r="S81" s="241">
        <f t="shared" si="13"/>
        <v>99700</v>
      </c>
    </row>
    <row r="82" spans="1:19">
      <c r="A82" s="243" t="s">
        <v>615</v>
      </c>
      <c r="B82" s="246">
        <v>99500</v>
      </c>
      <c r="C82" s="241"/>
      <c r="D82" s="241"/>
      <c r="E82" s="272">
        <v>99500</v>
      </c>
      <c r="F82" s="241"/>
      <c r="G82" s="241"/>
      <c r="H82" s="241"/>
      <c r="I82" s="241">
        <f t="shared" si="9"/>
        <v>99500</v>
      </c>
      <c r="J82" s="241"/>
      <c r="K82" s="241"/>
      <c r="L82" s="241"/>
      <c r="M82" s="241">
        <f t="shared" si="10"/>
        <v>0</v>
      </c>
      <c r="N82" s="241">
        <f t="shared" si="11"/>
        <v>99500</v>
      </c>
      <c r="O82" s="241"/>
      <c r="P82" s="241"/>
      <c r="Q82" s="241"/>
      <c r="R82" s="241">
        <f t="shared" si="12"/>
        <v>0</v>
      </c>
      <c r="S82" s="241">
        <f t="shared" si="13"/>
        <v>99500</v>
      </c>
    </row>
    <row r="83" spans="1:19">
      <c r="A83" s="243" t="s">
        <v>616</v>
      </c>
      <c r="B83" s="246">
        <v>227500</v>
      </c>
      <c r="C83" s="241"/>
      <c r="D83" s="241"/>
      <c r="E83" s="272">
        <v>224100</v>
      </c>
      <c r="F83" s="241"/>
      <c r="G83" s="241"/>
      <c r="H83" s="241"/>
      <c r="I83" s="241">
        <f t="shared" si="9"/>
        <v>224100</v>
      </c>
      <c r="J83" s="241"/>
      <c r="K83" s="241"/>
      <c r="L83" s="241"/>
      <c r="M83" s="241">
        <f t="shared" si="10"/>
        <v>0</v>
      </c>
      <c r="N83" s="241">
        <f t="shared" si="11"/>
        <v>224100</v>
      </c>
      <c r="O83" s="241"/>
      <c r="P83" s="241"/>
      <c r="Q83" s="241"/>
      <c r="R83" s="241">
        <f t="shared" si="12"/>
        <v>0</v>
      </c>
      <c r="S83" s="241">
        <f t="shared" si="13"/>
        <v>224100</v>
      </c>
    </row>
    <row r="84" spans="1:19">
      <c r="A84" s="243" t="s">
        <v>617</v>
      </c>
      <c r="B84" s="246">
        <v>99900</v>
      </c>
      <c r="C84" s="241"/>
      <c r="D84" s="241"/>
      <c r="E84" s="241"/>
      <c r="F84" s="241"/>
      <c r="G84" s="241"/>
      <c r="H84" s="272">
        <v>93400</v>
      </c>
      <c r="I84" s="241">
        <f t="shared" si="9"/>
        <v>93400</v>
      </c>
      <c r="J84" s="241"/>
      <c r="K84" s="241"/>
      <c r="L84" s="241"/>
      <c r="M84" s="241">
        <f t="shared" si="10"/>
        <v>0</v>
      </c>
      <c r="N84" s="241">
        <f t="shared" si="11"/>
        <v>93400</v>
      </c>
      <c r="O84" s="241"/>
      <c r="P84" s="241"/>
      <c r="Q84" s="241"/>
      <c r="R84" s="241">
        <f t="shared" si="12"/>
        <v>0</v>
      </c>
      <c r="S84" s="241">
        <f t="shared" si="13"/>
        <v>93400</v>
      </c>
    </row>
    <row r="85" spans="1:19">
      <c r="A85" s="243" t="s">
        <v>618</v>
      </c>
      <c r="B85" s="246">
        <v>243700</v>
      </c>
      <c r="C85" s="241"/>
      <c r="D85" s="241"/>
      <c r="E85" s="241"/>
      <c r="F85" s="272">
        <v>227200</v>
      </c>
      <c r="G85" s="241"/>
      <c r="H85" s="241"/>
      <c r="I85" s="241">
        <f t="shared" si="9"/>
        <v>227200</v>
      </c>
      <c r="J85" s="241"/>
      <c r="K85" s="241"/>
      <c r="L85" s="241"/>
      <c r="M85" s="241">
        <f t="shared" si="10"/>
        <v>0</v>
      </c>
      <c r="N85" s="241">
        <f t="shared" si="11"/>
        <v>227200</v>
      </c>
      <c r="O85" s="241"/>
      <c r="P85" s="241"/>
      <c r="Q85" s="241"/>
      <c r="R85" s="241">
        <f t="shared" si="12"/>
        <v>0</v>
      </c>
      <c r="S85" s="241">
        <f t="shared" si="13"/>
        <v>227200</v>
      </c>
    </row>
    <row r="86" spans="1:19">
      <c r="A86" s="243" t="s">
        <v>619</v>
      </c>
      <c r="B86" s="246">
        <v>165000</v>
      </c>
      <c r="C86" s="241"/>
      <c r="D86" s="241"/>
      <c r="E86" s="272">
        <v>163100</v>
      </c>
      <c r="F86" s="241"/>
      <c r="G86" s="241"/>
      <c r="H86" s="241"/>
      <c r="I86" s="241">
        <f t="shared" si="9"/>
        <v>163100</v>
      </c>
      <c r="J86" s="241"/>
      <c r="K86" s="241"/>
      <c r="L86" s="241"/>
      <c r="M86" s="241">
        <f t="shared" si="10"/>
        <v>0</v>
      </c>
      <c r="N86" s="241">
        <f t="shared" si="11"/>
        <v>163100</v>
      </c>
      <c r="O86" s="241"/>
      <c r="P86" s="241"/>
      <c r="Q86" s="241"/>
      <c r="R86" s="241">
        <f t="shared" si="12"/>
        <v>0</v>
      </c>
      <c r="S86" s="241">
        <f t="shared" si="13"/>
        <v>163100</v>
      </c>
    </row>
    <row r="87" spans="1:19">
      <c r="A87" s="243" t="s">
        <v>642</v>
      </c>
      <c r="B87" s="246">
        <v>165000</v>
      </c>
      <c r="C87" s="241"/>
      <c r="D87" s="241"/>
      <c r="E87" s="241"/>
      <c r="F87" s="241"/>
      <c r="G87" s="241"/>
      <c r="H87" s="241"/>
      <c r="I87" s="241">
        <f t="shared" si="9"/>
        <v>0</v>
      </c>
      <c r="J87" s="241"/>
      <c r="K87" s="241"/>
      <c r="L87" s="272">
        <v>164500</v>
      </c>
      <c r="M87" s="241">
        <f t="shared" si="10"/>
        <v>164500</v>
      </c>
      <c r="N87" s="241">
        <f t="shared" si="11"/>
        <v>164500</v>
      </c>
      <c r="O87" s="241"/>
      <c r="P87" s="241"/>
      <c r="Q87" s="241"/>
      <c r="R87" s="241">
        <f t="shared" si="12"/>
        <v>0</v>
      </c>
      <c r="S87" s="241">
        <f t="shared" si="13"/>
        <v>164500</v>
      </c>
    </row>
    <row r="88" spans="1:19">
      <c r="A88" s="243" t="s">
        <v>635</v>
      </c>
      <c r="B88" s="246">
        <v>197000</v>
      </c>
      <c r="C88" s="241"/>
      <c r="D88" s="241"/>
      <c r="E88" s="241"/>
      <c r="F88" s="241"/>
      <c r="G88" s="241">
        <v>143000</v>
      </c>
      <c r="H88" s="241"/>
      <c r="I88" s="241">
        <f t="shared" si="9"/>
        <v>143000</v>
      </c>
      <c r="J88" s="241"/>
      <c r="K88" s="241"/>
      <c r="L88" s="241"/>
      <c r="M88" s="241">
        <f t="shared" si="10"/>
        <v>0</v>
      </c>
      <c r="N88" s="241">
        <f t="shared" si="11"/>
        <v>143000</v>
      </c>
      <c r="O88" s="241"/>
      <c r="P88" s="241"/>
      <c r="Q88" s="241"/>
      <c r="R88" s="241">
        <f t="shared" si="12"/>
        <v>0</v>
      </c>
      <c r="S88" s="241">
        <f t="shared" si="13"/>
        <v>143000</v>
      </c>
    </row>
    <row r="89" spans="1:19">
      <c r="A89" s="243" t="s">
        <v>620</v>
      </c>
      <c r="B89" s="246">
        <v>213000</v>
      </c>
      <c r="C89" s="241"/>
      <c r="D89" s="241"/>
      <c r="E89" s="272">
        <v>213000</v>
      </c>
      <c r="F89" s="241"/>
      <c r="G89" s="241"/>
      <c r="H89" s="241"/>
      <c r="I89" s="241">
        <f t="shared" si="9"/>
        <v>213000</v>
      </c>
      <c r="J89" s="241"/>
      <c r="K89" s="241"/>
      <c r="L89" s="241"/>
      <c r="M89" s="241">
        <f t="shared" si="10"/>
        <v>0</v>
      </c>
      <c r="N89" s="241">
        <f t="shared" si="11"/>
        <v>213000</v>
      </c>
      <c r="O89" s="241"/>
      <c r="P89" s="241"/>
      <c r="Q89" s="241"/>
      <c r="R89" s="241">
        <f t="shared" si="12"/>
        <v>0</v>
      </c>
      <c r="S89" s="241">
        <f t="shared" si="13"/>
        <v>213000</v>
      </c>
    </row>
    <row r="90" spans="1:19">
      <c r="A90" s="243" t="s">
        <v>621</v>
      </c>
      <c r="B90" s="246">
        <v>139000</v>
      </c>
      <c r="C90" s="241"/>
      <c r="D90" s="241"/>
      <c r="E90" s="272">
        <v>139000</v>
      </c>
      <c r="F90" s="241"/>
      <c r="G90" s="241"/>
      <c r="H90" s="241"/>
      <c r="I90" s="241">
        <f t="shared" si="9"/>
        <v>139000</v>
      </c>
      <c r="J90" s="241"/>
      <c r="K90" s="241"/>
      <c r="L90" s="241"/>
      <c r="M90" s="241">
        <f t="shared" si="10"/>
        <v>0</v>
      </c>
      <c r="N90" s="241">
        <f t="shared" si="11"/>
        <v>139000</v>
      </c>
      <c r="O90" s="241"/>
      <c r="P90" s="241"/>
      <c r="Q90" s="241"/>
      <c r="R90" s="241">
        <f t="shared" si="12"/>
        <v>0</v>
      </c>
      <c r="S90" s="241">
        <f t="shared" si="13"/>
        <v>139000</v>
      </c>
    </row>
    <row r="91" spans="1:19">
      <c r="A91" s="243" t="s">
        <v>622</v>
      </c>
      <c r="B91" s="246">
        <v>99000</v>
      </c>
      <c r="C91" s="241"/>
      <c r="D91" s="241"/>
      <c r="E91" s="241"/>
      <c r="F91" s="241"/>
      <c r="G91" s="241"/>
      <c r="H91" s="272">
        <v>98650</v>
      </c>
      <c r="I91" s="241">
        <f t="shared" si="9"/>
        <v>98650</v>
      </c>
      <c r="J91" s="241"/>
      <c r="K91" s="241"/>
      <c r="L91" s="241"/>
      <c r="M91" s="241">
        <f t="shared" si="10"/>
        <v>0</v>
      </c>
      <c r="N91" s="241">
        <f t="shared" si="11"/>
        <v>98650</v>
      </c>
      <c r="O91" s="241"/>
      <c r="P91" s="241"/>
      <c r="Q91" s="241"/>
      <c r="R91" s="241">
        <f t="shared" si="12"/>
        <v>0</v>
      </c>
      <c r="S91" s="241">
        <f t="shared" si="13"/>
        <v>98650</v>
      </c>
    </row>
    <row r="92" spans="1:19">
      <c r="A92" s="243" t="s">
        <v>623</v>
      </c>
      <c r="B92" s="246">
        <v>99600</v>
      </c>
      <c r="C92" s="241"/>
      <c r="D92" s="241"/>
      <c r="E92" s="272">
        <v>99600</v>
      </c>
      <c r="F92" s="241"/>
      <c r="G92" s="241"/>
      <c r="H92" s="241"/>
      <c r="I92" s="241">
        <f t="shared" si="9"/>
        <v>99600</v>
      </c>
      <c r="J92" s="241"/>
      <c r="K92" s="241"/>
      <c r="L92" s="241"/>
      <c r="M92" s="241">
        <f t="shared" si="10"/>
        <v>0</v>
      </c>
      <c r="N92" s="241">
        <f t="shared" si="11"/>
        <v>99600</v>
      </c>
      <c r="O92" s="241"/>
      <c r="P92" s="241"/>
      <c r="Q92" s="241"/>
      <c r="R92" s="241">
        <f t="shared" si="12"/>
        <v>0</v>
      </c>
      <c r="S92" s="241">
        <f t="shared" si="13"/>
        <v>99600</v>
      </c>
    </row>
    <row r="93" spans="1:19">
      <c r="A93" s="243" t="s">
        <v>624</v>
      </c>
      <c r="B93" s="246">
        <v>99500</v>
      </c>
      <c r="C93" s="241"/>
      <c r="D93" s="241"/>
      <c r="E93" s="241"/>
      <c r="F93" s="272">
        <v>99000</v>
      </c>
      <c r="G93" s="241"/>
      <c r="H93" s="241"/>
      <c r="I93" s="241">
        <f t="shared" si="9"/>
        <v>99000</v>
      </c>
      <c r="J93" s="241"/>
      <c r="K93" s="241"/>
      <c r="L93" s="241"/>
      <c r="M93" s="241">
        <f t="shared" si="10"/>
        <v>0</v>
      </c>
      <c r="N93" s="241">
        <f t="shared" si="11"/>
        <v>99000</v>
      </c>
      <c r="O93" s="241"/>
      <c r="P93" s="241"/>
      <c r="Q93" s="241"/>
      <c r="R93" s="241">
        <f t="shared" si="12"/>
        <v>0</v>
      </c>
      <c r="S93" s="241">
        <f t="shared" si="13"/>
        <v>99000</v>
      </c>
    </row>
    <row r="94" spans="1:19">
      <c r="A94" s="243" t="s">
        <v>625</v>
      </c>
      <c r="B94" s="246">
        <v>99700</v>
      </c>
      <c r="C94" s="241"/>
      <c r="D94" s="241"/>
      <c r="E94" s="241"/>
      <c r="F94" s="272">
        <v>99200</v>
      </c>
      <c r="G94" s="241"/>
      <c r="H94" s="241"/>
      <c r="I94" s="241">
        <f t="shared" si="9"/>
        <v>99200</v>
      </c>
      <c r="J94" s="241"/>
      <c r="K94" s="241"/>
      <c r="L94" s="241"/>
      <c r="M94" s="241">
        <f t="shared" si="10"/>
        <v>0</v>
      </c>
      <c r="N94" s="241">
        <f t="shared" si="11"/>
        <v>99200</v>
      </c>
      <c r="O94" s="241"/>
      <c r="P94" s="241"/>
      <c r="Q94" s="241"/>
      <c r="R94" s="241">
        <f t="shared" si="12"/>
        <v>0</v>
      </c>
      <c r="S94" s="241">
        <f t="shared" si="13"/>
        <v>99200</v>
      </c>
    </row>
    <row r="95" spans="1:19">
      <c r="A95" s="243" t="s">
        <v>626</v>
      </c>
      <c r="B95" s="246">
        <v>99400</v>
      </c>
      <c r="C95" s="241"/>
      <c r="D95" s="241"/>
      <c r="E95" s="241"/>
      <c r="F95" s="272">
        <v>99000</v>
      </c>
      <c r="G95" s="241"/>
      <c r="H95" s="241"/>
      <c r="I95" s="241">
        <f t="shared" si="9"/>
        <v>99000</v>
      </c>
      <c r="J95" s="241"/>
      <c r="K95" s="241"/>
      <c r="L95" s="241"/>
      <c r="M95" s="241">
        <f t="shared" si="10"/>
        <v>0</v>
      </c>
      <c r="N95" s="241">
        <f t="shared" si="11"/>
        <v>99000</v>
      </c>
      <c r="O95" s="241"/>
      <c r="P95" s="241"/>
      <c r="Q95" s="241"/>
      <c r="R95" s="241">
        <f t="shared" si="12"/>
        <v>0</v>
      </c>
      <c r="S95" s="241">
        <f t="shared" si="13"/>
        <v>99000</v>
      </c>
    </row>
    <row r="96" spans="1:19">
      <c r="A96" s="243" t="s">
        <v>102</v>
      </c>
      <c r="B96" s="246">
        <v>100000</v>
      </c>
      <c r="C96" s="241"/>
      <c r="D96" s="241"/>
      <c r="E96" s="241"/>
      <c r="F96" s="241"/>
      <c r="G96" s="241"/>
      <c r="H96" s="241"/>
      <c r="I96" s="241">
        <f t="shared" si="9"/>
        <v>0</v>
      </c>
      <c r="J96" s="241"/>
      <c r="K96" s="241"/>
      <c r="L96" s="272">
        <v>530</v>
      </c>
      <c r="M96" s="241">
        <f t="shared" si="10"/>
        <v>530</v>
      </c>
      <c r="N96" s="241">
        <f t="shared" si="11"/>
        <v>530</v>
      </c>
      <c r="O96" s="241"/>
      <c r="P96" s="272">
        <v>90450</v>
      </c>
      <c r="Q96" s="241"/>
      <c r="R96" s="241">
        <f t="shared" si="12"/>
        <v>90450</v>
      </c>
      <c r="S96" s="241">
        <f t="shared" si="13"/>
        <v>90980</v>
      </c>
    </row>
    <row r="97" spans="1:20">
      <c r="A97" s="243" t="s">
        <v>627</v>
      </c>
      <c r="B97" s="246">
        <v>97900</v>
      </c>
      <c r="C97" s="241"/>
      <c r="D97" s="241"/>
      <c r="E97" s="241"/>
      <c r="F97" s="241"/>
      <c r="G97" s="241"/>
      <c r="H97" s="241"/>
      <c r="I97" s="241">
        <f t="shared" si="9"/>
        <v>0</v>
      </c>
      <c r="J97" s="241"/>
      <c r="K97" s="272">
        <v>24400</v>
      </c>
      <c r="L97" s="241"/>
      <c r="M97" s="241">
        <f t="shared" si="10"/>
        <v>24400</v>
      </c>
      <c r="N97" s="241">
        <f t="shared" si="11"/>
        <v>24400</v>
      </c>
      <c r="O97" s="241"/>
      <c r="P97" s="241"/>
      <c r="Q97" s="241"/>
      <c r="R97" s="241">
        <f t="shared" si="12"/>
        <v>0</v>
      </c>
      <c r="S97" s="241">
        <f t="shared" si="13"/>
        <v>24400</v>
      </c>
    </row>
    <row r="98" spans="1:20">
      <c r="B98" s="246">
        <v>245030</v>
      </c>
      <c r="C98" s="242"/>
      <c r="D98" s="242"/>
      <c r="E98" s="242"/>
      <c r="F98" s="242"/>
      <c r="G98" s="242"/>
      <c r="H98" s="242"/>
      <c r="I98" s="242">
        <f t="shared" si="9"/>
        <v>0</v>
      </c>
      <c r="J98" s="242"/>
      <c r="K98" s="242"/>
      <c r="L98" s="242"/>
      <c r="M98" s="242">
        <f t="shared" si="10"/>
        <v>0</v>
      </c>
      <c r="N98" s="242">
        <f t="shared" si="11"/>
        <v>0</v>
      </c>
      <c r="O98" s="242"/>
      <c r="P98" s="242"/>
      <c r="Q98" s="242"/>
      <c r="R98" s="242">
        <f t="shared" si="12"/>
        <v>0</v>
      </c>
      <c r="S98" s="241">
        <f t="shared" si="13"/>
        <v>0</v>
      </c>
    </row>
    <row r="103" spans="1:20">
      <c r="I103" s="1">
        <f t="shared" ref="I103:I108" si="14">SUM(C103:H103)</f>
        <v>0</v>
      </c>
      <c r="M103" s="1">
        <f>SUM(J103:L103)</f>
        <v>0</v>
      </c>
      <c r="N103" s="1">
        <f>M103+I103</f>
        <v>0</v>
      </c>
      <c r="R103" s="1">
        <f>SUM(O103:Q103)</f>
        <v>0</v>
      </c>
      <c r="S103" s="1">
        <f>I103+M103+R103</f>
        <v>0</v>
      </c>
      <c r="T103" s="1">
        <f>B103-I103-M103-R103</f>
        <v>0</v>
      </c>
    </row>
    <row r="104" spans="1:20">
      <c r="A104" s="244"/>
      <c r="I104" s="1">
        <f t="shared" si="14"/>
        <v>0</v>
      </c>
      <c r="R104" s="1">
        <f>SUM(O104:Q104)</f>
        <v>0</v>
      </c>
      <c r="S104" s="1">
        <f>I104+M104+R104</f>
        <v>0</v>
      </c>
      <c r="T104" s="1">
        <f>B104-I104-M104-R104</f>
        <v>0</v>
      </c>
    </row>
    <row r="105" spans="1:20">
      <c r="I105" s="1">
        <f t="shared" si="14"/>
        <v>0</v>
      </c>
      <c r="R105" s="1">
        <f>SUM(O105:Q105)</f>
        <v>0</v>
      </c>
      <c r="T105" s="1">
        <f>B105-I105-M105-R105</f>
        <v>0</v>
      </c>
    </row>
    <row r="106" spans="1:20">
      <c r="I106" s="1">
        <f t="shared" si="14"/>
        <v>0</v>
      </c>
    </row>
    <row r="107" spans="1:20">
      <c r="I107" s="1">
        <f t="shared" si="14"/>
        <v>0</v>
      </c>
    </row>
    <row r="108" spans="1:20">
      <c r="I108" s="1">
        <f t="shared" si="14"/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"/>
  <sheetViews>
    <sheetView topLeftCell="A37" zoomScaleNormal="100" workbookViewId="0">
      <selection activeCell="A6" sqref="A1:J65536"/>
    </sheetView>
  </sheetViews>
  <sheetFormatPr defaultRowHeight="21"/>
  <cols>
    <col min="1" max="1" width="6.28515625" style="298" customWidth="1"/>
    <col min="2" max="2" width="24.85546875" style="299" customWidth="1"/>
    <col min="3" max="3" width="15.7109375" style="300" customWidth="1"/>
    <col min="4" max="4" width="15.7109375" style="298" customWidth="1"/>
    <col min="5" max="5" width="10.7109375" style="298" customWidth="1"/>
    <col min="6" max="6" width="13" style="298" customWidth="1"/>
    <col min="7" max="9" width="12.7109375" style="298" customWidth="1"/>
    <col min="10" max="10" width="8.5703125" style="298" bestFit="1" customWidth="1"/>
    <col min="11" max="12" width="9.140625" style="1"/>
    <col min="13" max="13" width="70.28515625" style="1" customWidth="1"/>
    <col min="14" max="14" width="18.140625" style="1" customWidth="1"/>
    <col min="15" max="16384" width="9.140625" style="1"/>
  </cols>
  <sheetData>
    <row r="1" spans="1:10">
      <c r="A1" s="349" t="s">
        <v>669</v>
      </c>
      <c r="B1" s="349"/>
      <c r="C1" s="349"/>
      <c r="D1" s="349"/>
      <c r="E1" s="349"/>
      <c r="F1" s="349"/>
      <c r="G1" s="349"/>
      <c r="H1" s="349"/>
      <c r="I1" s="349"/>
      <c r="J1" s="349"/>
    </row>
    <row r="2" spans="1:10">
      <c r="A2" s="349" t="s">
        <v>670</v>
      </c>
      <c r="B2" s="349"/>
      <c r="C2" s="349"/>
      <c r="D2" s="349"/>
      <c r="E2" s="349"/>
      <c r="F2" s="349"/>
      <c r="G2" s="349"/>
      <c r="H2" s="349"/>
      <c r="I2" s="349"/>
      <c r="J2" s="349"/>
    </row>
    <row r="3" spans="1:10">
      <c r="A3" s="349" t="s">
        <v>671</v>
      </c>
      <c r="B3" s="349"/>
      <c r="C3" s="349"/>
      <c r="D3" s="349"/>
      <c r="E3" s="349"/>
      <c r="F3" s="349"/>
      <c r="G3" s="349"/>
      <c r="H3" s="349"/>
      <c r="I3" s="349"/>
      <c r="J3" s="349"/>
    </row>
    <row r="4" spans="1:10" s="287" customFormat="1" ht="38.25" customHeight="1">
      <c r="A4" s="346" t="s">
        <v>116</v>
      </c>
      <c r="B4" s="346" t="s">
        <v>672</v>
      </c>
      <c r="C4" s="346" t="s">
        <v>673</v>
      </c>
      <c r="D4" s="346" t="s">
        <v>674</v>
      </c>
      <c r="E4" s="346" t="s">
        <v>675</v>
      </c>
      <c r="F4" s="346" t="s">
        <v>676</v>
      </c>
      <c r="G4" s="346" t="s">
        <v>173</v>
      </c>
      <c r="H4" s="346"/>
      <c r="I4" s="346"/>
      <c r="J4" s="346" t="s">
        <v>91</v>
      </c>
    </row>
    <row r="5" spans="1:10" s="287" customFormat="1" ht="31.5">
      <c r="A5" s="346"/>
      <c r="B5" s="346"/>
      <c r="C5" s="346"/>
      <c r="D5" s="346"/>
      <c r="E5" s="346"/>
      <c r="F5" s="346"/>
      <c r="G5" s="288" t="s">
        <v>677</v>
      </c>
      <c r="H5" s="288" t="s">
        <v>678</v>
      </c>
      <c r="I5" s="288" t="s">
        <v>679</v>
      </c>
      <c r="J5" s="346"/>
    </row>
    <row r="6" spans="1:10">
      <c r="A6" s="289">
        <v>1</v>
      </c>
      <c r="B6" s="290" t="s">
        <v>227</v>
      </c>
      <c r="C6" s="291">
        <v>10000</v>
      </c>
      <c r="D6" s="292">
        <v>3865</v>
      </c>
      <c r="E6" s="293" t="s">
        <v>680</v>
      </c>
      <c r="F6" s="293" t="s">
        <v>350</v>
      </c>
      <c r="G6" s="294" t="s">
        <v>681</v>
      </c>
      <c r="H6" s="292"/>
      <c r="I6" s="292"/>
      <c r="J6" s="292"/>
    </row>
    <row r="7" spans="1:10" ht="31.5">
      <c r="A7" s="289">
        <v>2</v>
      </c>
      <c r="B7" s="290" t="s">
        <v>684</v>
      </c>
      <c r="C7" s="291">
        <v>100000</v>
      </c>
      <c r="D7" s="292">
        <v>18000</v>
      </c>
      <c r="E7" s="293" t="s">
        <v>680</v>
      </c>
      <c r="F7" s="293" t="s">
        <v>350</v>
      </c>
      <c r="G7" s="294" t="s">
        <v>681</v>
      </c>
      <c r="H7" s="292"/>
      <c r="I7" s="292"/>
      <c r="J7" s="292"/>
    </row>
    <row r="8" spans="1:10">
      <c r="A8" s="289">
        <v>3</v>
      </c>
      <c r="B8" s="290" t="s">
        <v>631</v>
      </c>
      <c r="C8" s="291">
        <v>263400</v>
      </c>
      <c r="D8" s="292">
        <v>23756.5</v>
      </c>
      <c r="E8" s="293" t="s">
        <v>680</v>
      </c>
      <c r="F8" s="293" t="s">
        <v>350</v>
      </c>
      <c r="G8" s="294" t="s">
        <v>681</v>
      </c>
      <c r="H8" s="292"/>
      <c r="I8" s="292"/>
      <c r="J8" s="292"/>
    </row>
    <row r="9" spans="1:10">
      <c r="A9" s="289">
        <v>4</v>
      </c>
      <c r="B9" s="290" t="s">
        <v>683</v>
      </c>
      <c r="C9" s="291">
        <v>130000</v>
      </c>
      <c r="D9" s="292">
        <v>21497.42</v>
      </c>
      <c r="E9" s="293" t="s">
        <v>680</v>
      </c>
      <c r="F9" s="293" t="s">
        <v>350</v>
      </c>
      <c r="G9" s="294" t="s">
        <v>681</v>
      </c>
      <c r="H9" s="292"/>
      <c r="I9" s="292"/>
      <c r="J9" s="292"/>
    </row>
    <row r="10" spans="1:10">
      <c r="A10" s="289">
        <v>5</v>
      </c>
      <c r="B10" s="290" t="s">
        <v>101</v>
      </c>
      <c r="C10" s="291">
        <v>100000</v>
      </c>
      <c r="D10" s="292">
        <v>127103</v>
      </c>
      <c r="E10" s="293" t="s">
        <v>680</v>
      </c>
      <c r="F10" s="293" t="s">
        <v>350</v>
      </c>
      <c r="G10" s="294" t="s">
        <v>681</v>
      </c>
      <c r="H10" s="292"/>
      <c r="I10" s="292"/>
      <c r="J10" s="292"/>
    </row>
    <row r="11" spans="1:10">
      <c r="A11" s="289">
        <v>6</v>
      </c>
      <c r="B11" s="290" t="s">
        <v>98</v>
      </c>
      <c r="C11" s="291">
        <v>247000</v>
      </c>
      <c r="D11" s="292">
        <v>68365.77</v>
      </c>
      <c r="E11" s="293" t="s">
        <v>680</v>
      </c>
      <c r="F11" s="293" t="s">
        <v>350</v>
      </c>
      <c r="G11" s="294" t="s">
        <v>681</v>
      </c>
      <c r="H11" s="292"/>
      <c r="I11" s="292"/>
      <c r="J11" s="292"/>
    </row>
    <row r="12" spans="1:10">
      <c r="A12" s="289">
        <v>7</v>
      </c>
      <c r="B12" s="290" t="s">
        <v>99</v>
      </c>
      <c r="C12" s="291">
        <v>50000</v>
      </c>
      <c r="D12" s="292">
        <v>6080</v>
      </c>
      <c r="E12" s="293" t="s">
        <v>680</v>
      </c>
      <c r="F12" s="293" t="s">
        <v>350</v>
      </c>
      <c r="G12" s="294" t="s">
        <v>681</v>
      </c>
      <c r="H12" s="292"/>
      <c r="I12" s="292"/>
      <c r="J12" s="292"/>
    </row>
    <row r="13" spans="1:10">
      <c r="A13" s="347" t="s">
        <v>682</v>
      </c>
      <c r="B13" s="348"/>
      <c r="C13" s="295">
        <f>SUM(C6:C12)</f>
        <v>900400</v>
      </c>
      <c r="D13" s="296">
        <f>SUM(D6:D12)</f>
        <v>268667.69</v>
      </c>
      <c r="E13" s="292"/>
      <c r="F13" s="292"/>
      <c r="G13" s="297">
        <v>7</v>
      </c>
      <c r="H13" s="292"/>
      <c r="I13" s="292"/>
      <c r="J13" s="292"/>
    </row>
  </sheetData>
  <mergeCells count="12">
    <mergeCell ref="J4:J5"/>
    <mergeCell ref="A13:B13"/>
    <mergeCell ref="A1:J1"/>
    <mergeCell ref="A2:J2"/>
    <mergeCell ref="A3:J3"/>
    <mergeCell ref="G4:I4"/>
    <mergeCell ref="A4:A5"/>
    <mergeCell ref="B4:B5"/>
    <mergeCell ref="C4:C5"/>
    <mergeCell ref="D4:D5"/>
    <mergeCell ref="E4:E5"/>
    <mergeCell ref="F4:F5"/>
  </mergeCells>
  <pageMargins left="0.39370078740157483" right="0.39370078740157483" top="0.59055118110236227" bottom="0.39370078740157483" header="0.51181102362204722" footer="0.51181102362204722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74"/>
  <sheetViews>
    <sheetView view="pageBreakPreview" zoomScale="125" zoomScaleNormal="100" zoomScaleSheetLayoutView="125" workbookViewId="0">
      <selection activeCell="C113" sqref="C113"/>
    </sheetView>
  </sheetViews>
  <sheetFormatPr defaultRowHeight="18.75"/>
  <cols>
    <col min="1" max="1" width="5" style="3" customWidth="1"/>
    <col min="2" max="2" width="28.42578125" style="3" customWidth="1"/>
    <col min="3" max="3" width="11.42578125" style="3" customWidth="1"/>
    <col min="4" max="4" width="8.28515625" style="3" customWidth="1"/>
    <col min="5" max="5" width="12.5703125" style="23" customWidth="1"/>
    <col min="6" max="6" width="14.42578125" style="23" customWidth="1"/>
    <col min="7" max="7" width="13.42578125" style="3" customWidth="1"/>
    <col min="8" max="12" width="2.7109375" style="3" customWidth="1"/>
    <col min="13" max="13" width="15.85546875" style="23" customWidth="1"/>
    <col min="14" max="14" width="17" style="23" bestFit="1" customWidth="1"/>
    <col min="15" max="15" width="16.5703125" style="273" customWidth="1"/>
    <col min="16" max="16" width="7.140625" style="3" customWidth="1"/>
    <col min="17" max="21" width="9.140625" style="26"/>
    <col min="22" max="16384" width="9.140625" style="3"/>
  </cols>
  <sheetData>
    <row r="1" spans="1:21" ht="37.5">
      <c r="P1" s="3" t="s">
        <v>112</v>
      </c>
    </row>
    <row r="2" spans="1:21" s="35" customFormat="1" ht="21.75" customHeight="1">
      <c r="C2" s="64" t="s">
        <v>518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41" t="s">
        <v>113</v>
      </c>
      <c r="O2" s="321"/>
      <c r="P2" s="321"/>
      <c r="Q2" s="65"/>
      <c r="R2" s="65"/>
      <c r="S2" s="65"/>
      <c r="T2" s="65"/>
      <c r="U2" s="65"/>
    </row>
    <row r="3" spans="1:21" s="35" customFormat="1" ht="21.75" customHeight="1">
      <c r="C3" s="315" t="s">
        <v>159</v>
      </c>
      <c r="D3" s="320"/>
      <c r="E3" s="320"/>
      <c r="F3" s="320"/>
      <c r="G3" s="320"/>
      <c r="H3" s="320"/>
      <c r="I3" s="320"/>
      <c r="J3" s="320"/>
      <c r="K3" s="320"/>
      <c r="L3" s="320"/>
      <c r="M3" s="31"/>
      <c r="N3" s="341" t="s">
        <v>229</v>
      </c>
      <c r="O3" s="321"/>
      <c r="P3" s="321"/>
      <c r="Q3" s="65"/>
      <c r="R3" s="65"/>
      <c r="S3" s="65"/>
      <c r="T3" s="65"/>
      <c r="U3" s="65"/>
    </row>
    <row r="4" spans="1:21" s="35" customFormat="1" ht="21.75" customHeight="1">
      <c r="C4" s="343" t="s">
        <v>644</v>
      </c>
      <c r="D4" s="322"/>
      <c r="E4" s="322"/>
      <c r="F4" s="322"/>
      <c r="G4" s="322"/>
      <c r="H4" s="322"/>
      <c r="I4" s="322"/>
      <c r="J4" s="322"/>
      <c r="K4" s="322"/>
      <c r="L4" s="322"/>
      <c r="M4" s="31"/>
      <c r="N4" s="341" t="s">
        <v>230</v>
      </c>
      <c r="O4" s="321"/>
      <c r="P4" s="321"/>
      <c r="Q4" s="65"/>
      <c r="R4" s="65"/>
      <c r="S4" s="65"/>
      <c r="T4" s="65"/>
      <c r="U4" s="65"/>
    </row>
    <row r="5" spans="1:21" s="35" customFormat="1" ht="12.75" customHeight="1">
      <c r="E5" s="66"/>
      <c r="F5" s="66"/>
      <c r="M5" s="66"/>
      <c r="N5" s="66"/>
      <c r="O5" s="274"/>
      <c r="Q5" s="65"/>
      <c r="R5" s="65"/>
      <c r="S5" s="65"/>
      <c r="T5" s="65"/>
      <c r="U5" s="65"/>
    </row>
    <row r="6" spans="1:21" s="35" customFormat="1" ht="18.75" customHeight="1">
      <c r="A6" s="332" t="s">
        <v>185</v>
      </c>
      <c r="B6" s="332" t="s">
        <v>117</v>
      </c>
      <c r="C6" s="332" t="s">
        <v>118</v>
      </c>
      <c r="D6" s="332" t="s">
        <v>119</v>
      </c>
      <c r="E6" s="337" t="s">
        <v>87</v>
      </c>
      <c r="F6" s="332" t="s">
        <v>395</v>
      </c>
      <c r="G6" s="332" t="s">
        <v>120</v>
      </c>
      <c r="H6" s="340" t="s">
        <v>121</v>
      </c>
      <c r="I6" s="340"/>
      <c r="J6" s="340"/>
      <c r="K6" s="340"/>
      <c r="L6" s="340"/>
      <c r="M6" s="337" t="s">
        <v>122</v>
      </c>
      <c r="N6" s="337" t="s">
        <v>123</v>
      </c>
      <c r="O6" s="344" t="s">
        <v>124</v>
      </c>
      <c r="P6" s="332" t="s">
        <v>91</v>
      </c>
      <c r="Q6" s="65"/>
      <c r="R6" s="65"/>
      <c r="S6" s="65"/>
      <c r="T6" s="65"/>
      <c r="U6" s="65"/>
    </row>
    <row r="7" spans="1:21" s="35" customFormat="1">
      <c r="A7" s="314"/>
      <c r="B7" s="339"/>
      <c r="C7" s="314"/>
      <c r="D7" s="339"/>
      <c r="E7" s="339"/>
      <c r="F7" s="314"/>
      <c r="G7" s="314"/>
      <c r="H7" s="67">
        <v>1</v>
      </c>
      <c r="I7" s="67">
        <v>2</v>
      </c>
      <c r="J7" s="67">
        <v>3</v>
      </c>
      <c r="K7" s="67">
        <v>4</v>
      </c>
      <c r="L7" s="68">
        <v>5</v>
      </c>
      <c r="M7" s="314"/>
      <c r="N7" s="338"/>
      <c r="O7" s="345"/>
      <c r="P7" s="339"/>
      <c r="Q7" s="65"/>
      <c r="R7" s="65"/>
      <c r="S7" s="65"/>
      <c r="T7" s="65"/>
      <c r="U7" s="65"/>
    </row>
    <row r="8" spans="1:21" s="35" customFormat="1">
      <c r="A8" s="8"/>
      <c r="B8" s="75" t="s">
        <v>110</v>
      </c>
      <c r="C8" s="8"/>
      <c r="D8" s="19"/>
      <c r="E8" s="19"/>
      <c r="F8" s="8"/>
      <c r="G8" s="8"/>
      <c r="H8" s="67"/>
      <c r="I8" s="67"/>
      <c r="J8" s="67"/>
      <c r="K8" s="67"/>
      <c r="L8" s="68"/>
      <c r="M8" s="8"/>
      <c r="N8" s="275"/>
      <c r="O8" s="76"/>
      <c r="P8" s="19"/>
      <c r="Q8" s="65"/>
      <c r="R8" s="65"/>
      <c r="S8" s="65"/>
      <c r="T8" s="65"/>
      <c r="U8" s="65"/>
    </row>
    <row r="9" spans="1:21" s="35" customFormat="1">
      <c r="A9" s="74">
        <v>1</v>
      </c>
      <c r="B9" s="11" t="s">
        <v>227</v>
      </c>
      <c r="C9" s="8" t="s">
        <v>110</v>
      </c>
      <c r="D9" s="8"/>
      <c r="E9" s="12">
        <v>200000</v>
      </c>
      <c r="F9" s="29">
        <f>200000-18050</f>
        <v>181950</v>
      </c>
      <c r="G9" s="8" t="s">
        <v>424</v>
      </c>
      <c r="H9" s="8"/>
      <c r="I9" s="8"/>
      <c r="J9" s="8"/>
      <c r="K9" s="8"/>
      <c r="L9" s="8" t="s">
        <v>125</v>
      </c>
      <c r="M9" s="29">
        <f>+รายการ!S3</f>
        <v>175600</v>
      </c>
      <c r="N9" s="29">
        <f>F9-M9</f>
        <v>6350</v>
      </c>
      <c r="O9" s="76"/>
      <c r="P9" s="19"/>
      <c r="Q9" s="65"/>
      <c r="R9" s="65"/>
      <c r="S9" s="65"/>
      <c r="T9" s="65"/>
      <c r="U9" s="65"/>
    </row>
    <row r="10" spans="1:21" s="35" customFormat="1" ht="47.25">
      <c r="A10" s="74">
        <v>2</v>
      </c>
      <c r="B10" s="11" t="s">
        <v>82</v>
      </c>
      <c r="C10" s="8" t="s">
        <v>110</v>
      </c>
      <c r="D10" s="8"/>
      <c r="E10" s="12">
        <v>500000</v>
      </c>
      <c r="F10" s="29">
        <f>+E10-500000</f>
        <v>0</v>
      </c>
      <c r="G10" s="8" t="s">
        <v>424</v>
      </c>
      <c r="H10" s="8"/>
      <c r="I10" s="8"/>
      <c r="J10" s="8"/>
      <c r="K10" s="8"/>
      <c r="L10" s="8"/>
      <c r="M10" s="29"/>
      <c r="N10" s="29">
        <f>+F10</f>
        <v>0</v>
      </c>
      <c r="O10" s="76"/>
      <c r="P10" s="14" t="s">
        <v>398</v>
      </c>
      <c r="Q10" s="65"/>
      <c r="R10" s="65"/>
      <c r="S10" s="65"/>
      <c r="T10" s="65"/>
      <c r="U10" s="65"/>
    </row>
    <row r="11" spans="1:21" s="35" customFormat="1" ht="47.25">
      <c r="A11" s="74">
        <v>3</v>
      </c>
      <c r="B11" s="11" t="s">
        <v>523</v>
      </c>
      <c r="C11" s="8" t="s">
        <v>110</v>
      </c>
      <c r="D11" s="8"/>
      <c r="E11" s="12">
        <v>100000</v>
      </c>
      <c r="F11" s="29">
        <v>0</v>
      </c>
      <c r="G11" s="8" t="s">
        <v>424</v>
      </c>
      <c r="H11" s="8"/>
      <c r="I11" s="8"/>
      <c r="J11" s="8"/>
      <c r="K11" s="8"/>
      <c r="L11" s="8"/>
      <c r="M11" s="29"/>
      <c r="N11" s="29">
        <f>+F11</f>
        <v>0</v>
      </c>
      <c r="O11" s="76"/>
      <c r="P11" s="14" t="s">
        <v>398</v>
      </c>
      <c r="Q11" s="65"/>
      <c r="R11" s="65"/>
      <c r="S11" s="65"/>
      <c r="T11" s="65"/>
      <c r="U11" s="65"/>
    </row>
    <row r="12" spans="1:21" s="35" customFormat="1">
      <c r="A12" s="74">
        <v>4</v>
      </c>
      <c r="B12" s="11" t="s">
        <v>97</v>
      </c>
      <c r="C12" s="8" t="s">
        <v>110</v>
      </c>
      <c r="D12" s="8"/>
      <c r="E12" s="12">
        <v>50000</v>
      </c>
      <c r="F12" s="29"/>
      <c r="G12" s="8" t="s">
        <v>424</v>
      </c>
      <c r="H12" s="8"/>
      <c r="I12" s="8"/>
      <c r="J12" s="8"/>
      <c r="K12" s="8"/>
      <c r="L12" s="8" t="s">
        <v>125</v>
      </c>
      <c r="M12" s="29">
        <f>+รายการ!S6</f>
        <v>49707</v>
      </c>
      <c r="N12" s="29">
        <f>E12-M12</f>
        <v>293</v>
      </c>
      <c r="O12" s="76"/>
      <c r="P12" s="19"/>
      <c r="Q12" s="65"/>
      <c r="R12" s="65"/>
      <c r="S12" s="65"/>
      <c r="T12" s="65"/>
      <c r="U12" s="65"/>
    </row>
    <row r="13" spans="1:21" s="35" customFormat="1">
      <c r="A13" s="74">
        <v>5</v>
      </c>
      <c r="B13" s="16" t="s">
        <v>427</v>
      </c>
      <c r="C13" s="8" t="s">
        <v>110</v>
      </c>
      <c r="D13" s="8"/>
      <c r="E13" s="17">
        <v>130000</v>
      </c>
      <c r="F13" s="29">
        <f>130000-10000</f>
        <v>120000</v>
      </c>
      <c r="G13" s="15" t="s">
        <v>424</v>
      </c>
      <c r="H13" s="8"/>
      <c r="I13" s="8"/>
      <c r="J13" s="8"/>
      <c r="K13" s="8"/>
      <c r="L13" s="8" t="s">
        <v>125</v>
      </c>
      <c r="M13" s="29">
        <v>120000</v>
      </c>
      <c r="N13" s="29">
        <f t="shared" ref="N13:N18" si="0">F13-M13</f>
        <v>0</v>
      </c>
      <c r="O13" s="76"/>
      <c r="P13" s="19"/>
      <c r="Q13" s="65"/>
      <c r="R13" s="65"/>
      <c r="S13" s="65"/>
      <c r="T13" s="65"/>
      <c r="U13" s="65"/>
    </row>
    <row r="14" spans="1:21" s="35" customFormat="1" ht="37.5">
      <c r="A14" s="74">
        <v>6</v>
      </c>
      <c r="B14" s="16" t="s">
        <v>428</v>
      </c>
      <c r="C14" s="8" t="s">
        <v>110</v>
      </c>
      <c r="D14" s="8"/>
      <c r="E14" s="17">
        <v>99000</v>
      </c>
      <c r="F14" s="29">
        <f>99000-9000</f>
        <v>90000</v>
      </c>
      <c r="G14" s="15" t="s">
        <v>424</v>
      </c>
      <c r="H14" s="8"/>
      <c r="I14" s="8"/>
      <c r="J14" s="8"/>
      <c r="K14" s="8"/>
      <c r="L14" s="8" t="s">
        <v>125</v>
      </c>
      <c r="M14" s="29">
        <v>90000</v>
      </c>
      <c r="N14" s="29">
        <f t="shared" si="0"/>
        <v>0</v>
      </c>
      <c r="O14" s="76"/>
      <c r="P14" s="19"/>
      <c r="Q14" s="65"/>
      <c r="R14" s="65"/>
      <c r="S14" s="65"/>
      <c r="T14" s="65"/>
      <c r="U14" s="65"/>
    </row>
    <row r="15" spans="1:21" s="35" customFormat="1">
      <c r="A15" s="74">
        <v>7</v>
      </c>
      <c r="B15" s="16" t="s">
        <v>372</v>
      </c>
      <c r="C15" s="8" t="s">
        <v>110</v>
      </c>
      <c r="D15" s="8"/>
      <c r="E15" s="17">
        <v>40000</v>
      </c>
      <c r="F15" s="29">
        <f>40000-6600</f>
        <v>33400</v>
      </c>
      <c r="G15" s="15" t="s">
        <v>424</v>
      </c>
      <c r="H15" s="8"/>
      <c r="I15" s="8"/>
      <c r="J15" s="8"/>
      <c r="K15" s="8"/>
      <c r="L15" s="8" t="s">
        <v>125</v>
      </c>
      <c r="M15" s="29">
        <v>33400</v>
      </c>
      <c r="N15" s="29">
        <f t="shared" si="0"/>
        <v>0</v>
      </c>
      <c r="O15" s="76"/>
      <c r="P15" s="19"/>
      <c r="Q15" s="65"/>
      <c r="R15" s="65"/>
      <c r="S15" s="65"/>
      <c r="T15" s="65"/>
      <c r="U15" s="65"/>
    </row>
    <row r="16" spans="1:21" s="35" customFormat="1">
      <c r="A16" s="74">
        <v>8</v>
      </c>
      <c r="B16" s="16" t="s">
        <v>429</v>
      </c>
      <c r="C16" s="8" t="s">
        <v>110</v>
      </c>
      <c r="D16" s="8"/>
      <c r="E16" s="17">
        <v>20000</v>
      </c>
      <c r="F16" s="29">
        <f>20000-10</f>
        <v>19990</v>
      </c>
      <c r="G16" s="15" t="s">
        <v>424</v>
      </c>
      <c r="H16" s="8"/>
      <c r="I16" s="8"/>
      <c r="J16" s="8"/>
      <c r="K16" s="8"/>
      <c r="L16" s="8" t="s">
        <v>125</v>
      </c>
      <c r="M16" s="29">
        <v>19990</v>
      </c>
      <c r="N16" s="29">
        <f t="shared" si="0"/>
        <v>0</v>
      </c>
      <c r="O16" s="76"/>
      <c r="P16" s="19"/>
      <c r="Q16" s="65"/>
      <c r="R16" s="65"/>
      <c r="S16" s="65"/>
      <c r="T16" s="65"/>
      <c r="U16" s="65"/>
    </row>
    <row r="17" spans="1:21" s="35" customFormat="1" ht="37.5">
      <c r="A17" s="74">
        <v>9</v>
      </c>
      <c r="B17" s="16" t="s">
        <v>436</v>
      </c>
      <c r="C17" s="8" t="s">
        <v>110</v>
      </c>
      <c r="D17" s="8"/>
      <c r="E17" s="17">
        <v>48000</v>
      </c>
      <c r="F17" s="29">
        <f>48000-1200</f>
        <v>46800</v>
      </c>
      <c r="G17" s="15" t="s">
        <v>424</v>
      </c>
      <c r="H17" s="8"/>
      <c r="I17" s="8"/>
      <c r="J17" s="8"/>
      <c r="K17" s="8"/>
      <c r="L17" s="8" t="s">
        <v>125</v>
      </c>
      <c r="M17" s="29">
        <v>46800</v>
      </c>
      <c r="N17" s="29">
        <f t="shared" si="0"/>
        <v>0</v>
      </c>
      <c r="O17" s="76"/>
      <c r="P17" s="19"/>
      <c r="Q17" s="65"/>
      <c r="R17" s="65"/>
      <c r="S17" s="65"/>
      <c r="T17" s="65"/>
      <c r="U17" s="65"/>
    </row>
    <row r="18" spans="1:21" s="35" customFormat="1" ht="37.5">
      <c r="A18" s="74">
        <v>10</v>
      </c>
      <c r="B18" s="16" t="s">
        <v>524</v>
      </c>
      <c r="C18" s="8" t="s">
        <v>110</v>
      </c>
      <c r="D18" s="8"/>
      <c r="E18" s="17">
        <v>9600</v>
      </c>
      <c r="F18" s="29">
        <f>9600-3000</f>
        <v>6600</v>
      </c>
      <c r="G18" s="15" t="s">
        <v>424</v>
      </c>
      <c r="H18" s="8"/>
      <c r="I18" s="8"/>
      <c r="J18" s="8"/>
      <c r="K18" s="8"/>
      <c r="L18" s="8" t="s">
        <v>125</v>
      </c>
      <c r="M18" s="29">
        <v>6600</v>
      </c>
      <c r="N18" s="29">
        <f t="shared" si="0"/>
        <v>0</v>
      </c>
      <c r="O18" s="76"/>
      <c r="P18" s="19"/>
      <c r="Q18" s="65"/>
      <c r="R18" s="65"/>
      <c r="S18" s="65"/>
      <c r="T18" s="65"/>
      <c r="U18" s="65"/>
    </row>
    <row r="19" spans="1:21" s="35" customFormat="1" ht="47.25">
      <c r="A19" s="74">
        <v>11</v>
      </c>
      <c r="B19" s="16" t="s">
        <v>358</v>
      </c>
      <c r="C19" s="8" t="s">
        <v>110</v>
      </c>
      <c r="D19" s="8"/>
      <c r="E19" s="17">
        <v>50000</v>
      </c>
      <c r="F19" s="29">
        <f>50000-50000</f>
        <v>0</v>
      </c>
      <c r="G19" s="15" t="s">
        <v>424</v>
      </c>
      <c r="H19" s="8"/>
      <c r="I19" s="8"/>
      <c r="J19" s="8"/>
      <c r="K19" s="8"/>
      <c r="L19" s="8"/>
      <c r="M19" s="29"/>
      <c r="N19" s="29">
        <f>+F19</f>
        <v>0</v>
      </c>
      <c r="O19" s="76"/>
      <c r="P19" s="14" t="s">
        <v>398</v>
      </c>
      <c r="Q19" s="65"/>
      <c r="R19" s="65"/>
      <c r="S19" s="65"/>
      <c r="T19" s="65"/>
      <c r="U19" s="65"/>
    </row>
    <row r="20" spans="1:21" s="35" customFormat="1" ht="93.75">
      <c r="A20" s="74">
        <v>12</v>
      </c>
      <c r="B20" s="16" t="s">
        <v>360</v>
      </c>
      <c r="C20" s="8" t="s">
        <v>110</v>
      </c>
      <c r="D20" s="8"/>
      <c r="E20" s="17">
        <v>20000</v>
      </c>
      <c r="F20" s="29">
        <f>20000-20000</f>
        <v>0</v>
      </c>
      <c r="G20" s="8" t="s">
        <v>424</v>
      </c>
      <c r="H20" s="8"/>
      <c r="I20" s="8"/>
      <c r="J20" s="8"/>
      <c r="K20" s="8"/>
      <c r="L20" s="8"/>
      <c r="M20" s="29"/>
      <c r="N20" s="29">
        <f>+F20</f>
        <v>0</v>
      </c>
      <c r="O20" s="76"/>
      <c r="P20" s="14" t="s">
        <v>398</v>
      </c>
      <c r="Q20" s="65"/>
      <c r="R20" s="65"/>
      <c r="S20" s="65"/>
      <c r="T20" s="65"/>
      <c r="U20" s="65"/>
    </row>
    <row r="21" spans="1:21" s="35" customFormat="1" ht="37.5">
      <c r="A21" s="74">
        <v>13</v>
      </c>
      <c r="B21" s="16" t="s">
        <v>337</v>
      </c>
      <c r="C21" s="8" t="s">
        <v>110</v>
      </c>
      <c r="D21" s="8"/>
      <c r="E21" s="17">
        <v>10000</v>
      </c>
      <c r="F21" s="29">
        <f>10000+80000</f>
        <v>90000</v>
      </c>
      <c r="G21" s="15" t="s">
        <v>424</v>
      </c>
      <c r="H21" s="8"/>
      <c r="I21" s="8"/>
      <c r="J21" s="8"/>
      <c r="K21" s="8"/>
      <c r="L21" s="8" t="s">
        <v>125</v>
      </c>
      <c r="M21" s="29">
        <f>+รายการ!S15</f>
        <v>65025</v>
      </c>
      <c r="N21" s="29">
        <f>F21-M21</f>
        <v>24975</v>
      </c>
      <c r="O21" s="76"/>
      <c r="P21" s="19"/>
      <c r="Q21" s="65"/>
      <c r="R21" s="65"/>
      <c r="S21" s="65"/>
      <c r="T21" s="65"/>
      <c r="U21" s="65"/>
    </row>
    <row r="22" spans="1:21" s="35" customFormat="1" ht="37.5">
      <c r="A22" s="74">
        <v>14</v>
      </c>
      <c r="B22" s="16" t="s">
        <v>529</v>
      </c>
      <c r="C22" s="8" t="s">
        <v>110</v>
      </c>
      <c r="D22" s="8"/>
      <c r="E22" s="17">
        <v>35000</v>
      </c>
      <c r="F22" s="29">
        <f>35000-10110</f>
        <v>24890</v>
      </c>
      <c r="G22" s="15" t="s">
        <v>424</v>
      </c>
      <c r="H22" s="8"/>
      <c r="I22" s="8"/>
      <c r="J22" s="8"/>
      <c r="K22" s="8"/>
      <c r="L22" s="8" t="s">
        <v>125</v>
      </c>
      <c r="M22" s="29">
        <f>+รายการ!S17</f>
        <v>24890</v>
      </c>
      <c r="N22" s="29">
        <f>F22-M22</f>
        <v>0</v>
      </c>
      <c r="O22" s="76"/>
      <c r="P22" s="19"/>
      <c r="Q22" s="65"/>
      <c r="R22" s="65"/>
      <c r="S22" s="65"/>
      <c r="T22" s="65"/>
      <c r="U22" s="65"/>
    </row>
    <row r="23" spans="1:21" s="35" customFormat="1" ht="47.25">
      <c r="A23" s="74">
        <v>15</v>
      </c>
      <c r="B23" s="16" t="s">
        <v>530</v>
      </c>
      <c r="C23" s="8" t="s">
        <v>110</v>
      </c>
      <c r="D23" s="8"/>
      <c r="E23" s="17">
        <v>50000</v>
      </c>
      <c r="F23" s="29">
        <f>50000-50000</f>
        <v>0</v>
      </c>
      <c r="G23" s="15" t="s">
        <v>424</v>
      </c>
      <c r="H23" s="8"/>
      <c r="I23" s="8"/>
      <c r="J23" s="8"/>
      <c r="K23" s="8"/>
      <c r="L23" s="8"/>
      <c r="M23" s="29">
        <f>+รายการ!H17</f>
        <v>0</v>
      </c>
      <c r="N23" s="29">
        <f>F23-M23</f>
        <v>0</v>
      </c>
      <c r="O23" s="76"/>
      <c r="P23" s="14" t="s">
        <v>398</v>
      </c>
      <c r="Q23" s="65"/>
      <c r="R23" s="65"/>
      <c r="S23" s="65"/>
      <c r="T23" s="65"/>
      <c r="U23" s="65"/>
    </row>
    <row r="24" spans="1:21" s="35" customFormat="1" ht="56.25">
      <c r="A24" s="74">
        <v>16</v>
      </c>
      <c r="B24" s="16" t="s">
        <v>441</v>
      </c>
      <c r="C24" s="8" t="s">
        <v>110</v>
      </c>
      <c r="D24" s="8"/>
      <c r="E24" s="17">
        <v>15000</v>
      </c>
      <c r="F24" s="29"/>
      <c r="G24" s="15" t="s">
        <v>424</v>
      </c>
      <c r="H24" s="8"/>
      <c r="I24" s="8"/>
      <c r="J24" s="8"/>
      <c r="K24" s="8"/>
      <c r="L24" s="8" t="s">
        <v>125</v>
      </c>
      <c r="M24" s="29">
        <f>+รายการ!I18</f>
        <v>15000</v>
      </c>
      <c r="N24" s="29">
        <f t="shared" ref="N24:N30" si="1">E24-M24</f>
        <v>0</v>
      </c>
      <c r="O24" s="76"/>
      <c r="P24" s="19"/>
      <c r="Q24" s="65"/>
      <c r="R24" s="65"/>
      <c r="S24" s="65"/>
      <c r="T24" s="65"/>
      <c r="U24" s="65"/>
    </row>
    <row r="25" spans="1:21" s="35" customFormat="1" ht="56.25">
      <c r="A25" s="74">
        <v>17</v>
      </c>
      <c r="B25" s="16" t="s">
        <v>442</v>
      </c>
      <c r="C25" s="8" t="s">
        <v>110</v>
      </c>
      <c r="D25" s="8"/>
      <c r="E25" s="17">
        <v>30000</v>
      </c>
      <c r="F25" s="29">
        <f>30000-30000</f>
        <v>0</v>
      </c>
      <c r="G25" s="15" t="s">
        <v>424</v>
      </c>
      <c r="H25" s="8"/>
      <c r="I25" s="8"/>
      <c r="J25" s="8"/>
      <c r="K25" s="8"/>
      <c r="L25" s="8"/>
      <c r="M25" s="29">
        <f>+F25</f>
        <v>0</v>
      </c>
      <c r="N25" s="29">
        <f>F25-M25</f>
        <v>0</v>
      </c>
      <c r="O25" s="76"/>
      <c r="P25" s="14" t="s">
        <v>398</v>
      </c>
      <c r="Q25" s="65"/>
      <c r="R25" s="65"/>
      <c r="S25" s="65"/>
      <c r="T25" s="65"/>
      <c r="U25" s="65"/>
    </row>
    <row r="26" spans="1:21" s="35" customFormat="1" ht="37.5">
      <c r="A26" s="74">
        <v>18</v>
      </c>
      <c r="B26" s="16" t="s">
        <v>531</v>
      </c>
      <c r="C26" s="8" t="s">
        <v>110</v>
      </c>
      <c r="D26" s="8"/>
      <c r="E26" s="17">
        <v>95000</v>
      </c>
      <c r="F26" s="29">
        <f>95000-76300</f>
        <v>18700</v>
      </c>
      <c r="G26" s="15" t="s">
        <v>424</v>
      </c>
      <c r="H26" s="8"/>
      <c r="I26" s="8"/>
      <c r="J26" s="8"/>
      <c r="K26" s="8"/>
      <c r="L26" s="8" t="s">
        <v>125</v>
      </c>
      <c r="M26" s="29">
        <f>+รายการ!N20</f>
        <v>18700</v>
      </c>
      <c r="N26" s="29">
        <f>F26-M26</f>
        <v>0</v>
      </c>
      <c r="O26" s="76"/>
      <c r="P26" s="19"/>
      <c r="Q26" s="65"/>
      <c r="R26" s="65"/>
      <c r="S26" s="65"/>
      <c r="T26" s="65"/>
      <c r="U26" s="65"/>
    </row>
    <row r="27" spans="1:21" s="35" customFormat="1" ht="47.25">
      <c r="A27" s="74">
        <v>19</v>
      </c>
      <c r="B27" s="16" t="s">
        <v>489</v>
      </c>
      <c r="C27" s="8" t="s">
        <v>110</v>
      </c>
      <c r="D27" s="8"/>
      <c r="E27" s="17">
        <v>20000</v>
      </c>
      <c r="F27" s="29">
        <f>20000-20000</f>
        <v>0</v>
      </c>
      <c r="G27" s="15" t="s">
        <v>424</v>
      </c>
      <c r="H27" s="8"/>
      <c r="I27" s="8"/>
      <c r="J27" s="8"/>
      <c r="K27" s="8"/>
      <c r="L27" s="8"/>
      <c r="M27" s="29">
        <f>+รายการ!I21</f>
        <v>0</v>
      </c>
      <c r="N27" s="29">
        <f>F27-M27</f>
        <v>0</v>
      </c>
      <c r="O27" s="76"/>
      <c r="P27" s="14" t="s">
        <v>398</v>
      </c>
      <c r="Q27" s="65"/>
      <c r="R27" s="65"/>
      <c r="S27" s="65"/>
      <c r="T27" s="65"/>
      <c r="U27" s="65"/>
    </row>
    <row r="28" spans="1:21" s="35" customFormat="1" ht="37.5">
      <c r="A28" s="74">
        <v>20</v>
      </c>
      <c r="B28" s="16" t="s">
        <v>445</v>
      </c>
      <c r="C28" s="8" t="s">
        <v>110</v>
      </c>
      <c r="D28" s="8"/>
      <c r="E28" s="17">
        <v>17000</v>
      </c>
      <c r="F28" s="29"/>
      <c r="G28" s="15" t="s">
        <v>424</v>
      </c>
      <c r="H28" s="8"/>
      <c r="I28" s="8"/>
      <c r="J28" s="8"/>
      <c r="K28" s="8"/>
      <c r="L28" s="8" t="s">
        <v>125</v>
      </c>
      <c r="M28" s="29">
        <f>+รายการ!N22</f>
        <v>16799</v>
      </c>
      <c r="N28" s="29">
        <f t="shared" si="1"/>
        <v>201</v>
      </c>
      <c r="O28" s="76"/>
      <c r="P28" s="19"/>
      <c r="Q28" s="65"/>
      <c r="R28" s="65"/>
      <c r="S28" s="65"/>
      <c r="T28" s="65"/>
      <c r="U28" s="65"/>
    </row>
    <row r="29" spans="1:21" s="35" customFormat="1" ht="37.5">
      <c r="A29" s="74">
        <v>21</v>
      </c>
      <c r="B29" s="16" t="s">
        <v>532</v>
      </c>
      <c r="C29" s="8" t="s">
        <v>110</v>
      </c>
      <c r="D29" s="8"/>
      <c r="E29" s="17">
        <v>60000</v>
      </c>
      <c r="F29" s="29"/>
      <c r="G29" s="15" t="s">
        <v>424</v>
      </c>
      <c r="H29" s="8"/>
      <c r="I29" s="8"/>
      <c r="J29" s="8"/>
      <c r="K29" s="8"/>
      <c r="L29" s="8" t="s">
        <v>125</v>
      </c>
      <c r="M29" s="29">
        <v>60000</v>
      </c>
      <c r="N29" s="29">
        <f t="shared" si="1"/>
        <v>0</v>
      </c>
      <c r="O29" s="76"/>
      <c r="P29" s="19"/>
      <c r="Q29" s="65"/>
      <c r="R29" s="65"/>
      <c r="S29" s="65"/>
      <c r="T29" s="65"/>
      <c r="U29" s="65"/>
    </row>
    <row r="30" spans="1:21" s="35" customFormat="1" ht="37.5">
      <c r="A30" s="74">
        <v>22</v>
      </c>
      <c r="B30" s="16" t="s">
        <v>533</v>
      </c>
      <c r="C30" s="8" t="s">
        <v>110</v>
      </c>
      <c r="D30" s="8"/>
      <c r="E30" s="17">
        <v>30000</v>
      </c>
      <c r="F30" s="29"/>
      <c r="G30" s="15" t="s">
        <v>424</v>
      </c>
      <c r="H30" s="8"/>
      <c r="I30" s="8"/>
      <c r="J30" s="8"/>
      <c r="K30" s="8"/>
      <c r="L30" s="8" t="s">
        <v>125</v>
      </c>
      <c r="M30" s="29">
        <v>30000</v>
      </c>
      <c r="N30" s="29">
        <f t="shared" si="1"/>
        <v>0</v>
      </c>
      <c r="O30" s="76"/>
      <c r="P30" s="19"/>
      <c r="Q30" s="65"/>
      <c r="R30" s="65"/>
      <c r="S30" s="65"/>
      <c r="T30" s="65"/>
      <c r="U30" s="65"/>
    </row>
    <row r="31" spans="1:21" s="35" customFormat="1" ht="56.25">
      <c r="A31" s="74">
        <v>23</v>
      </c>
      <c r="B31" s="16" t="s">
        <v>540</v>
      </c>
      <c r="C31" s="8" t="s">
        <v>110</v>
      </c>
      <c r="D31" s="8"/>
      <c r="E31" s="17">
        <v>150000</v>
      </c>
      <c r="F31" s="29">
        <f>150000-75000+30489.9</f>
        <v>105489.9</v>
      </c>
      <c r="G31" s="15" t="s">
        <v>424</v>
      </c>
      <c r="H31" s="8"/>
      <c r="I31" s="8"/>
      <c r="J31" s="8"/>
      <c r="K31" s="8"/>
      <c r="L31" s="8" t="s">
        <v>125</v>
      </c>
      <c r="M31" s="29">
        <f>+รายการ!S25</f>
        <v>42710.1</v>
      </c>
      <c r="N31" s="29">
        <f t="shared" ref="N31:N39" si="2">F31-M31</f>
        <v>62779.799999999996</v>
      </c>
      <c r="O31" s="76"/>
      <c r="P31" s="19"/>
      <c r="Q31" s="65"/>
      <c r="R31" s="65"/>
      <c r="S31" s="65"/>
      <c r="T31" s="65"/>
      <c r="U31" s="65"/>
    </row>
    <row r="32" spans="1:21" s="35" customFormat="1" ht="37.5">
      <c r="A32" s="74">
        <v>24</v>
      </c>
      <c r="B32" s="16" t="s">
        <v>541</v>
      </c>
      <c r="C32" s="8" t="s">
        <v>110</v>
      </c>
      <c r="D32" s="8"/>
      <c r="E32" s="17">
        <v>20000</v>
      </c>
      <c r="F32" s="29">
        <f>20000+14000+26000+14600+13340</f>
        <v>87940</v>
      </c>
      <c r="G32" s="15" t="s">
        <v>424</v>
      </c>
      <c r="H32" s="8"/>
      <c r="I32" s="8"/>
      <c r="J32" s="8"/>
      <c r="K32" s="8"/>
      <c r="L32" s="8" t="s">
        <v>125</v>
      </c>
      <c r="M32" s="29">
        <f>+รายการ!N26</f>
        <v>87940</v>
      </c>
      <c r="N32" s="29">
        <f t="shared" si="2"/>
        <v>0</v>
      </c>
      <c r="O32" s="76"/>
      <c r="P32" s="19"/>
      <c r="Q32" s="65"/>
      <c r="R32" s="65"/>
      <c r="S32" s="65"/>
      <c r="T32" s="65"/>
      <c r="U32" s="65"/>
    </row>
    <row r="33" spans="1:21" s="35" customFormat="1" ht="37.5">
      <c r="A33" s="74">
        <v>25</v>
      </c>
      <c r="B33" s="16" t="s">
        <v>542</v>
      </c>
      <c r="C33" s="8" t="s">
        <v>110</v>
      </c>
      <c r="D33" s="8"/>
      <c r="E33" s="17">
        <v>30000</v>
      </c>
      <c r="F33" s="29">
        <f>30000-22040</f>
        <v>7960</v>
      </c>
      <c r="G33" s="15" t="s">
        <v>424</v>
      </c>
      <c r="H33" s="8"/>
      <c r="I33" s="8"/>
      <c r="J33" s="8"/>
      <c r="K33" s="8"/>
      <c r="L33" s="8" t="s">
        <v>125</v>
      </c>
      <c r="M33" s="29">
        <f>+รายการ!I27</f>
        <v>7960</v>
      </c>
      <c r="N33" s="29">
        <f t="shared" si="2"/>
        <v>0</v>
      </c>
      <c r="O33" s="76"/>
      <c r="P33" s="19"/>
      <c r="Q33" s="65"/>
      <c r="R33" s="65"/>
      <c r="S33" s="65"/>
      <c r="T33" s="65"/>
      <c r="U33" s="65"/>
    </row>
    <row r="34" spans="1:21" s="35" customFormat="1">
      <c r="A34" s="74">
        <v>26</v>
      </c>
      <c r="B34" s="16" t="s">
        <v>228</v>
      </c>
      <c r="C34" s="8" t="s">
        <v>110</v>
      </c>
      <c r="D34" s="8"/>
      <c r="E34" s="17">
        <v>200000</v>
      </c>
      <c r="F34" s="29">
        <f>200000-60000-90000</f>
        <v>50000</v>
      </c>
      <c r="G34" s="15" t="s">
        <v>424</v>
      </c>
      <c r="H34" s="8"/>
      <c r="I34" s="8"/>
      <c r="J34" s="8"/>
      <c r="K34" s="8"/>
      <c r="L34" s="8" t="s">
        <v>125</v>
      </c>
      <c r="M34" s="29">
        <f>+รายการ!N28</f>
        <v>45420</v>
      </c>
      <c r="N34" s="29">
        <f t="shared" si="2"/>
        <v>4580</v>
      </c>
      <c r="O34" s="76"/>
      <c r="P34" s="19"/>
      <c r="Q34" s="65"/>
      <c r="R34" s="65"/>
      <c r="S34" s="65"/>
      <c r="T34" s="65"/>
      <c r="U34" s="65"/>
    </row>
    <row r="35" spans="1:21" s="35" customFormat="1">
      <c r="A35" s="74">
        <v>27</v>
      </c>
      <c r="B35" s="16" t="s">
        <v>457</v>
      </c>
      <c r="C35" s="8" t="s">
        <v>110</v>
      </c>
      <c r="D35" s="8"/>
      <c r="E35" s="17">
        <v>59000</v>
      </c>
      <c r="F35" s="29"/>
      <c r="G35" s="15" t="s">
        <v>424</v>
      </c>
      <c r="H35" s="8"/>
      <c r="I35" s="8"/>
      <c r="J35" s="8"/>
      <c r="K35" s="8"/>
      <c r="L35" s="8" t="s">
        <v>125</v>
      </c>
      <c r="M35" s="29">
        <f>+รายการ!M29</f>
        <v>59000</v>
      </c>
      <c r="N35" s="29">
        <f>E35-M35</f>
        <v>0</v>
      </c>
      <c r="O35" s="76"/>
      <c r="P35" s="19"/>
      <c r="Q35" s="65"/>
      <c r="R35" s="65"/>
      <c r="S35" s="65"/>
      <c r="T35" s="65"/>
      <c r="U35" s="65"/>
    </row>
    <row r="36" spans="1:21" s="35" customFormat="1" ht="37.5">
      <c r="A36" s="74">
        <v>28</v>
      </c>
      <c r="B36" s="16" t="s">
        <v>545</v>
      </c>
      <c r="C36" s="8" t="s">
        <v>110</v>
      </c>
      <c r="D36" s="8"/>
      <c r="E36" s="17">
        <v>50000</v>
      </c>
      <c r="F36" s="29">
        <f>50000-30000</f>
        <v>20000</v>
      </c>
      <c r="G36" s="15" t="s">
        <v>424</v>
      </c>
      <c r="H36" s="8"/>
      <c r="I36" s="8"/>
      <c r="J36" s="8"/>
      <c r="K36" s="8"/>
      <c r="L36" s="8" t="s">
        <v>125</v>
      </c>
      <c r="M36" s="29">
        <f>+รายการ!N30</f>
        <v>19950</v>
      </c>
      <c r="N36" s="29">
        <f t="shared" si="2"/>
        <v>50</v>
      </c>
      <c r="O36" s="76"/>
      <c r="P36" s="19"/>
      <c r="Q36" s="65"/>
      <c r="R36" s="65"/>
      <c r="S36" s="65"/>
      <c r="T36" s="65"/>
      <c r="U36" s="65"/>
    </row>
    <row r="37" spans="1:21" s="35" customFormat="1" ht="37.5">
      <c r="A37" s="74">
        <v>29</v>
      </c>
      <c r="B37" s="16" t="s">
        <v>546</v>
      </c>
      <c r="C37" s="8" t="s">
        <v>110</v>
      </c>
      <c r="D37" s="8"/>
      <c r="E37" s="17">
        <v>500000</v>
      </c>
      <c r="F37" s="29">
        <f>500000-800</f>
        <v>499200</v>
      </c>
      <c r="G37" s="15" t="s">
        <v>424</v>
      </c>
      <c r="H37" s="8"/>
      <c r="I37" s="8"/>
      <c r="J37" s="8"/>
      <c r="K37" s="8"/>
      <c r="L37" s="8" t="s">
        <v>125</v>
      </c>
      <c r="M37" s="29">
        <f>+รายการ!I31</f>
        <v>499200</v>
      </c>
      <c r="N37" s="29">
        <f t="shared" si="2"/>
        <v>0</v>
      </c>
      <c r="O37" s="76"/>
      <c r="P37" s="19"/>
      <c r="Q37" s="65"/>
      <c r="R37" s="65"/>
      <c r="S37" s="65"/>
      <c r="T37" s="65"/>
      <c r="U37" s="65"/>
    </row>
    <row r="38" spans="1:21" s="35" customFormat="1" ht="37.5">
      <c r="A38" s="74">
        <v>30</v>
      </c>
      <c r="B38" s="16" t="s">
        <v>547</v>
      </c>
      <c r="C38" s="8" t="s">
        <v>110</v>
      </c>
      <c r="D38" s="8"/>
      <c r="E38" s="17">
        <v>600000</v>
      </c>
      <c r="F38" s="29">
        <f>600000+100000+30700-80000</f>
        <v>650700</v>
      </c>
      <c r="G38" s="15" t="s">
        <v>424</v>
      </c>
      <c r="H38" s="8"/>
      <c r="I38" s="8"/>
      <c r="J38" s="8"/>
      <c r="K38" s="8"/>
      <c r="L38" s="8" t="s">
        <v>125</v>
      </c>
      <c r="M38" s="29">
        <f>+รายการ!N32</f>
        <v>650700</v>
      </c>
      <c r="N38" s="29">
        <f t="shared" si="2"/>
        <v>0</v>
      </c>
      <c r="O38" s="76"/>
      <c r="P38" s="19"/>
      <c r="Q38" s="65"/>
      <c r="R38" s="65"/>
      <c r="S38" s="65"/>
      <c r="T38" s="65"/>
      <c r="U38" s="65"/>
    </row>
    <row r="39" spans="1:21" s="35" customFormat="1">
      <c r="A39" s="74">
        <v>31</v>
      </c>
      <c r="B39" s="16" t="s">
        <v>169</v>
      </c>
      <c r="C39" s="8" t="s">
        <v>110</v>
      </c>
      <c r="D39" s="8"/>
      <c r="E39" s="17">
        <v>394590</v>
      </c>
      <c r="F39" s="29">
        <f>394590+200000+40000+500000+176360+323640+15000+7000+70000+42000+500000+100000+10000+9000+6600+10+4200+22040+800+60000+42000+28000+200000+40000+1400+2100+150000+10000+50+3900+15000+500+2800+3400+6500+16500+1900+54000+350+500+900+75000+90000+50000+30000+274000+32000+53000-833900+23500+10000+90000+70000+20000+30000+150000+6500+38000+50000+8000+5100+5400+11000+5000+42500+23000+1079800</f>
        <v>4498940</v>
      </c>
      <c r="G39" s="8" t="s">
        <v>424</v>
      </c>
      <c r="H39" s="8"/>
      <c r="I39" s="8"/>
      <c r="J39" s="8"/>
      <c r="K39" s="8"/>
      <c r="L39" s="8" t="s">
        <v>125</v>
      </c>
      <c r="M39" s="29">
        <f>+รายการ!S33</f>
        <v>4450261</v>
      </c>
      <c r="N39" s="29">
        <f t="shared" si="2"/>
        <v>48679</v>
      </c>
      <c r="O39" s="76"/>
      <c r="P39" s="19"/>
      <c r="Q39" s="65"/>
      <c r="R39" s="65"/>
      <c r="S39" s="65"/>
      <c r="T39" s="65"/>
      <c r="U39" s="65"/>
    </row>
    <row r="40" spans="1:21" s="35" customFormat="1">
      <c r="A40" s="74"/>
      <c r="B40" s="75" t="s">
        <v>350</v>
      </c>
      <c r="C40" s="8"/>
      <c r="D40" s="8"/>
      <c r="E40" s="29"/>
      <c r="F40" s="29"/>
      <c r="G40" s="8"/>
      <c r="H40" s="8"/>
      <c r="I40" s="8"/>
      <c r="J40" s="8"/>
      <c r="K40" s="8"/>
      <c r="L40" s="8"/>
      <c r="M40" s="29"/>
      <c r="N40" s="29"/>
      <c r="O40" s="76"/>
      <c r="P40" s="19"/>
      <c r="Q40" s="65"/>
      <c r="R40" s="65"/>
      <c r="S40" s="65"/>
      <c r="T40" s="65"/>
      <c r="U40" s="65"/>
    </row>
    <row r="41" spans="1:21" s="35" customFormat="1">
      <c r="A41" s="74">
        <v>32</v>
      </c>
      <c r="B41" s="16" t="s">
        <v>227</v>
      </c>
      <c r="C41" s="8" t="s">
        <v>350</v>
      </c>
      <c r="D41" s="8"/>
      <c r="E41" s="18">
        <v>10000</v>
      </c>
      <c r="F41" s="29"/>
      <c r="G41" s="8" t="s">
        <v>424</v>
      </c>
      <c r="H41" s="8"/>
      <c r="I41" s="8"/>
      <c r="J41" s="8"/>
      <c r="K41" s="8"/>
      <c r="L41" s="8" t="s">
        <v>125</v>
      </c>
      <c r="M41" s="29">
        <v>5570</v>
      </c>
      <c r="N41" s="29">
        <f>E41-M41</f>
        <v>4430</v>
      </c>
      <c r="O41" s="76"/>
      <c r="P41" s="19"/>
      <c r="Q41" s="65"/>
      <c r="R41" s="65"/>
      <c r="S41" s="65"/>
      <c r="T41" s="65"/>
      <c r="U41" s="65"/>
    </row>
    <row r="42" spans="1:21" s="35" customFormat="1" ht="37.5">
      <c r="A42" s="74">
        <v>33</v>
      </c>
      <c r="B42" s="16" t="s">
        <v>525</v>
      </c>
      <c r="C42" s="8" t="s">
        <v>350</v>
      </c>
      <c r="D42" s="8"/>
      <c r="E42" s="17">
        <v>100000</v>
      </c>
      <c r="F42" s="29">
        <f>100000-28000</f>
        <v>72000</v>
      </c>
      <c r="G42" s="8" t="s">
        <v>424</v>
      </c>
      <c r="H42" s="8"/>
      <c r="I42" s="8"/>
      <c r="J42" s="8"/>
      <c r="K42" s="8"/>
      <c r="L42" s="8" t="s">
        <v>125</v>
      </c>
      <c r="M42" s="29">
        <f>+รายการ!N36</f>
        <v>72000</v>
      </c>
      <c r="N42" s="29">
        <f t="shared" ref="N42:N49" si="3">F42-M42</f>
        <v>0</v>
      </c>
      <c r="O42" s="76"/>
      <c r="P42" s="19"/>
      <c r="Q42" s="65"/>
      <c r="R42" s="65"/>
      <c r="S42" s="65"/>
      <c r="T42" s="65"/>
      <c r="U42" s="65"/>
    </row>
    <row r="43" spans="1:21" s="35" customFormat="1" ht="37.5">
      <c r="A43" s="74">
        <v>34</v>
      </c>
      <c r="B43" s="16" t="s">
        <v>526</v>
      </c>
      <c r="C43" s="8" t="s">
        <v>350</v>
      </c>
      <c r="D43" s="8"/>
      <c r="E43" s="17">
        <v>263400</v>
      </c>
      <c r="F43" s="29">
        <f>263400-200000+2000-13052.3</f>
        <v>52347.7</v>
      </c>
      <c r="G43" s="8" t="s">
        <v>424</v>
      </c>
      <c r="H43" s="8"/>
      <c r="I43" s="8"/>
      <c r="J43" s="8"/>
      <c r="K43" s="8"/>
      <c r="L43" s="8" t="s">
        <v>125</v>
      </c>
      <c r="M43" s="29">
        <f>+รายการ!S37</f>
        <v>52347.7</v>
      </c>
      <c r="N43" s="29">
        <f t="shared" si="3"/>
        <v>0</v>
      </c>
      <c r="O43" s="76"/>
      <c r="P43" s="19"/>
      <c r="Q43" s="65"/>
      <c r="R43" s="65"/>
      <c r="S43" s="65"/>
      <c r="T43" s="65"/>
      <c r="U43" s="65"/>
    </row>
    <row r="44" spans="1:21" s="35" customFormat="1" ht="37.5">
      <c r="A44" s="74">
        <v>35</v>
      </c>
      <c r="B44" s="16" t="s">
        <v>435</v>
      </c>
      <c r="C44" s="8" t="s">
        <v>350</v>
      </c>
      <c r="D44" s="8"/>
      <c r="E44" s="17">
        <v>130000</v>
      </c>
      <c r="F44" s="29">
        <f>130000-30700-14600-17500-3972-42500+11646.54+1705.76</f>
        <v>34080.300000000003</v>
      </c>
      <c r="G44" s="15" t="s">
        <v>424</v>
      </c>
      <c r="H44" s="8"/>
      <c r="I44" s="8"/>
      <c r="J44" s="8"/>
      <c r="K44" s="8"/>
      <c r="L44" s="8" t="s">
        <v>125</v>
      </c>
      <c r="M44" s="29">
        <f>+รายการ!S38</f>
        <v>33227.42</v>
      </c>
      <c r="N44" s="29">
        <f t="shared" si="3"/>
        <v>852.88000000000466</v>
      </c>
      <c r="O44" s="76"/>
      <c r="P44" s="19"/>
      <c r="Q44" s="65"/>
      <c r="R44" s="65"/>
      <c r="S44" s="65"/>
      <c r="T44" s="65"/>
      <c r="U44" s="65"/>
    </row>
    <row r="45" spans="1:21" s="35" customFormat="1">
      <c r="A45" s="74">
        <v>36</v>
      </c>
      <c r="B45" s="16" t="s">
        <v>101</v>
      </c>
      <c r="C45" s="8" t="s">
        <v>350</v>
      </c>
      <c r="D45" s="8"/>
      <c r="E45" s="17">
        <v>100000</v>
      </c>
      <c r="F45" s="29">
        <f>100000+69215+60000+20000+60110</f>
        <v>309325</v>
      </c>
      <c r="G45" s="8" t="s">
        <v>424</v>
      </c>
      <c r="H45" s="8"/>
      <c r="I45" s="8"/>
      <c r="J45" s="8"/>
      <c r="K45" s="8"/>
      <c r="L45" s="8" t="s">
        <v>125</v>
      </c>
      <c r="M45" s="29">
        <f>+รายการ!S39+30948</f>
        <v>303231.90000000002</v>
      </c>
      <c r="N45" s="29">
        <f t="shared" si="3"/>
        <v>6093.0999999999767</v>
      </c>
      <c r="O45" s="76"/>
      <c r="P45" s="19"/>
      <c r="Q45" s="65"/>
      <c r="R45" s="65"/>
      <c r="S45" s="65"/>
      <c r="T45" s="65"/>
      <c r="U45" s="65"/>
    </row>
    <row r="46" spans="1:21" s="35" customFormat="1">
      <c r="A46" s="74">
        <v>37</v>
      </c>
      <c r="B46" s="16" t="s">
        <v>98</v>
      </c>
      <c r="C46" s="8" t="s">
        <v>350</v>
      </c>
      <c r="D46" s="8"/>
      <c r="E46" s="17">
        <v>247000</v>
      </c>
      <c r="F46" s="29">
        <f>247000-53000-23500-41142.44</f>
        <v>129357.56</v>
      </c>
      <c r="G46" s="8" t="s">
        <v>424</v>
      </c>
      <c r="H46" s="8"/>
      <c r="I46" s="8"/>
      <c r="J46" s="8"/>
      <c r="K46" s="8"/>
      <c r="L46" s="8" t="s">
        <v>125</v>
      </c>
      <c r="M46" s="29">
        <f>+รายการ!S40</f>
        <v>129356.8</v>
      </c>
      <c r="N46" s="29">
        <f t="shared" si="3"/>
        <v>0.75999999999476131</v>
      </c>
      <c r="O46" s="76"/>
      <c r="P46" s="19"/>
      <c r="Q46" s="65"/>
      <c r="R46" s="65"/>
      <c r="S46" s="65"/>
      <c r="T46" s="65"/>
      <c r="U46" s="65"/>
    </row>
    <row r="47" spans="1:21" s="35" customFormat="1">
      <c r="A47" s="74">
        <v>38</v>
      </c>
      <c r="B47" s="16" t="s">
        <v>99</v>
      </c>
      <c r="C47" s="8" t="s">
        <v>350</v>
      </c>
      <c r="D47" s="8"/>
      <c r="E47" s="17">
        <v>50000</v>
      </c>
      <c r="F47" s="29">
        <f>50000-40000</f>
        <v>10000</v>
      </c>
      <c r="G47" s="8" t="s">
        <v>424</v>
      </c>
      <c r="H47" s="8"/>
      <c r="I47" s="8"/>
      <c r="J47" s="8"/>
      <c r="K47" s="8"/>
      <c r="L47" s="8" t="s">
        <v>125</v>
      </c>
      <c r="M47" s="29">
        <f>+รายการ!S41</f>
        <v>8660</v>
      </c>
      <c r="N47" s="29">
        <f t="shared" si="3"/>
        <v>1340</v>
      </c>
      <c r="O47" s="76"/>
      <c r="P47" s="19"/>
      <c r="Q47" s="65"/>
      <c r="R47" s="65"/>
      <c r="S47" s="65"/>
      <c r="T47" s="65"/>
      <c r="U47" s="65"/>
    </row>
    <row r="48" spans="1:21" s="35" customFormat="1" ht="56.25">
      <c r="A48" s="74">
        <v>39</v>
      </c>
      <c r="B48" s="16" t="s">
        <v>430</v>
      </c>
      <c r="C48" s="8" t="s">
        <v>350</v>
      </c>
      <c r="D48" s="8"/>
      <c r="E48" s="17">
        <v>16000</v>
      </c>
      <c r="F48" s="29">
        <f>16000-400</f>
        <v>15600</v>
      </c>
      <c r="G48" s="8" t="s">
        <v>424</v>
      </c>
      <c r="H48" s="8"/>
      <c r="I48" s="8"/>
      <c r="J48" s="8"/>
      <c r="K48" s="8"/>
      <c r="L48" s="8" t="s">
        <v>125</v>
      </c>
      <c r="M48" s="29">
        <v>15600</v>
      </c>
      <c r="N48" s="29">
        <f t="shared" si="3"/>
        <v>0</v>
      </c>
      <c r="O48" s="76"/>
      <c r="P48" s="19"/>
      <c r="Q48" s="65"/>
      <c r="R48" s="65"/>
      <c r="S48" s="65"/>
      <c r="T48" s="65"/>
      <c r="U48" s="65"/>
    </row>
    <row r="49" spans="1:21" s="35" customFormat="1" ht="37.5">
      <c r="A49" s="74">
        <v>40</v>
      </c>
      <c r="B49" s="16" t="s">
        <v>524</v>
      </c>
      <c r="C49" s="8" t="s">
        <v>350</v>
      </c>
      <c r="D49" s="8"/>
      <c r="E49" s="17">
        <v>3200</v>
      </c>
      <c r="F49" s="29">
        <f>3200-1000</f>
        <v>2200</v>
      </c>
      <c r="G49" s="15" t="s">
        <v>424</v>
      </c>
      <c r="H49" s="8"/>
      <c r="I49" s="8"/>
      <c r="J49" s="8"/>
      <c r="K49" s="8"/>
      <c r="L49" s="8" t="s">
        <v>125</v>
      </c>
      <c r="M49" s="29">
        <v>2200</v>
      </c>
      <c r="N49" s="29">
        <f t="shared" si="3"/>
        <v>0</v>
      </c>
      <c r="O49" s="76"/>
      <c r="P49" s="19"/>
      <c r="Q49" s="65"/>
      <c r="R49" s="65"/>
      <c r="S49" s="65"/>
      <c r="T49" s="65"/>
      <c r="U49" s="65"/>
    </row>
    <row r="50" spans="1:21" s="35" customFormat="1" ht="37.5">
      <c r="A50" s="74">
        <v>41</v>
      </c>
      <c r="B50" s="16" t="s">
        <v>527</v>
      </c>
      <c r="C50" s="8" t="s">
        <v>350</v>
      </c>
      <c r="D50" s="8"/>
      <c r="E50" s="17">
        <v>4300</v>
      </c>
      <c r="F50" s="29"/>
      <c r="G50" s="15" t="s">
        <v>424</v>
      </c>
      <c r="H50" s="8"/>
      <c r="I50" s="8"/>
      <c r="J50" s="8"/>
      <c r="K50" s="8"/>
      <c r="L50" s="8" t="s">
        <v>125</v>
      </c>
      <c r="M50" s="29">
        <v>4300</v>
      </c>
      <c r="N50" s="29">
        <f>E50-M50</f>
        <v>0</v>
      </c>
      <c r="O50" s="76"/>
      <c r="P50" s="19"/>
      <c r="Q50" s="65"/>
      <c r="R50" s="65"/>
      <c r="S50" s="65"/>
      <c r="T50" s="65"/>
      <c r="U50" s="65"/>
    </row>
    <row r="51" spans="1:21" s="35" customFormat="1">
      <c r="A51" s="74">
        <v>42</v>
      </c>
      <c r="B51" s="16" t="s">
        <v>528</v>
      </c>
      <c r="C51" s="8" t="s">
        <v>350</v>
      </c>
      <c r="D51" s="8"/>
      <c r="E51" s="17">
        <v>50000</v>
      </c>
      <c r="F51" s="29">
        <f>50000-2100</f>
        <v>47900</v>
      </c>
      <c r="G51" s="15" t="s">
        <v>424</v>
      </c>
      <c r="H51" s="8"/>
      <c r="I51" s="8"/>
      <c r="J51" s="8"/>
      <c r="K51" s="8"/>
      <c r="L51" s="8" t="s">
        <v>125</v>
      </c>
      <c r="M51" s="29">
        <v>47900</v>
      </c>
      <c r="N51" s="29">
        <f>F51-M51</f>
        <v>0</v>
      </c>
      <c r="O51" s="76"/>
      <c r="P51" s="19"/>
      <c r="Q51" s="65"/>
      <c r="R51" s="65"/>
      <c r="S51" s="65"/>
      <c r="T51" s="65"/>
      <c r="U51" s="65"/>
    </row>
    <row r="52" spans="1:21" s="35" customFormat="1">
      <c r="A52" s="74"/>
      <c r="B52" s="75" t="s">
        <v>565</v>
      </c>
      <c r="C52" s="8"/>
      <c r="D52" s="8"/>
      <c r="E52" s="29"/>
      <c r="F52" s="29"/>
      <c r="G52" s="8"/>
      <c r="H52" s="8"/>
      <c r="I52" s="8"/>
      <c r="J52" s="8"/>
      <c r="K52" s="8"/>
      <c r="L52" s="8"/>
      <c r="M52" s="29"/>
      <c r="N52" s="29"/>
      <c r="O52" s="76"/>
      <c r="P52" s="19"/>
      <c r="Q52" s="65"/>
      <c r="R52" s="65"/>
      <c r="S52" s="65"/>
      <c r="T52" s="65"/>
      <c r="U52" s="65"/>
    </row>
    <row r="53" spans="1:21" s="35" customFormat="1" ht="56.25">
      <c r="A53" s="74">
        <v>43</v>
      </c>
      <c r="B53" s="16" t="s">
        <v>389</v>
      </c>
      <c r="C53" s="8" t="s">
        <v>565</v>
      </c>
      <c r="D53" s="8"/>
      <c r="E53" s="17">
        <v>90000</v>
      </c>
      <c r="F53" s="29">
        <f>90000-50</f>
        <v>89950</v>
      </c>
      <c r="G53" s="15" t="s">
        <v>424</v>
      </c>
      <c r="H53" s="8"/>
      <c r="I53" s="8"/>
      <c r="J53" s="8"/>
      <c r="K53" s="8"/>
      <c r="L53" s="8" t="s">
        <v>125</v>
      </c>
      <c r="M53" s="29">
        <f>+รายการ!I48</f>
        <v>89950</v>
      </c>
      <c r="N53" s="29">
        <f>F53-M53</f>
        <v>0</v>
      </c>
      <c r="O53" s="76"/>
      <c r="P53" s="19"/>
      <c r="Q53" s="65"/>
      <c r="R53" s="65"/>
      <c r="S53" s="65"/>
      <c r="T53" s="65"/>
      <c r="U53" s="65"/>
    </row>
    <row r="54" spans="1:21" s="35" customFormat="1" ht="37.5">
      <c r="A54" s="74">
        <v>44</v>
      </c>
      <c r="B54" s="16" t="s">
        <v>367</v>
      </c>
      <c r="C54" s="8" t="s">
        <v>565</v>
      </c>
      <c r="D54" s="8"/>
      <c r="E54" s="17">
        <v>108000</v>
      </c>
      <c r="F54" s="29"/>
      <c r="G54" s="15" t="s">
        <v>424</v>
      </c>
      <c r="H54" s="8"/>
      <c r="I54" s="8"/>
      <c r="J54" s="8"/>
      <c r="K54" s="8"/>
      <c r="L54" s="8" t="s">
        <v>125</v>
      </c>
      <c r="M54" s="29">
        <f>+รายการ!S49</f>
        <v>104800</v>
      </c>
      <c r="N54" s="29">
        <f>E54-M54</f>
        <v>3200</v>
      </c>
      <c r="O54" s="76"/>
      <c r="P54" s="19"/>
      <c r="Q54" s="65"/>
      <c r="R54" s="65"/>
      <c r="S54" s="65"/>
      <c r="T54" s="65"/>
      <c r="U54" s="65"/>
    </row>
    <row r="55" spans="1:21" s="35" customFormat="1" ht="47.25">
      <c r="A55" s="74">
        <v>45</v>
      </c>
      <c r="B55" s="16" t="s">
        <v>151</v>
      </c>
      <c r="C55" s="8" t="s">
        <v>565</v>
      </c>
      <c r="D55" s="8"/>
      <c r="E55" s="17">
        <v>10000</v>
      </c>
      <c r="F55" s="29">
        <f>10000-10000</f>
        <v>0</v>
      </c>
      <c r="G55" s="8" t="s">
        <v>424</v>
      </c>
      <c r="H55" s="8"/>
      <c r="I55" s="8"/>
      <c r="J55" s="8"/>
      <c r="K55" s="8"/>
      <c r="L55" s="8"/>
      <c r="M55" s="29">
        <f>+รายการ!I50</f>
        <v>0</v>
      </c>
      <c r="N55" s="29">
        <f>F55-M55</f>
        <v>0</v>
      </c>
      <c r="O55" s="76"/>
      <c r="P55" s="14" t="s">
        <v>398</v>
      </c>
      <c r="Q55" s="65"/>
      <c r="R55" s="65"/>
      <c r="S55" s="65"/>
      <c r="T55" s="65"/>
      <c r="U55" s="65"/>
    </row>
    <row r="56" spans="1:21" s="35" customFormat="1" ht="56.25">
      <c r="A56" s="74">
        <v>46</v>
      </c>
      <c r="B56" s="16" t="s">
        <v>430</v>
      </c>
      <c r="C56" s="8" t="s">
        <v>565</v>
      </c>
      <c r="D56" s="8"/>
      <c r="E56" s="17">
        <v>32000</v>
      </c>
      <c r="F56" s="29">
        <f>32000-800</f>
        <v>31200</v>
      </c>
      <c r="G56" s="8" t="s">
        <v>424</v>
      </c>
      <c r="H56" s="8"/>
      <c r="I56" s="8"/>
      <c r="J56" s="8"/>
      <c r="K56" s="8"/>
      <c r="L56" s="8" t="s">
        <v>125</v>
      </c>
      <c r="M56" s="29">
        <v>31200</v>
      </c>
      <c r="N56" s="29">
        <f>F56-M56</f>
        <v>0</v>
      </c>
      <c r="O56" s="76"/>
      <c r="P56" s="19"/>
      <c r="Q56" s="65"/>
      <c r="R56" s="65"/>
      <c r="S56" s="65"/>
      <c r="T56" s="65"/>
      <c r="U56" s="65"/>
    </row>
    <row r="57" spans="1:21" s="35" customFormat="1" ht="37.5">
      <c r="A57" s="74">
        <v>47</v>
      </c>
      <c r="B57" s="16" t="s">
        <v>524</v>
      </c>
      <c r="C57" s="8" t="s">
        <v>565</v>
      </c>
      <c r="D57" s="8"/>
      <c r="E57" s="17">
        <v>9600</v>
      </c>
      <c r="F57" s="29">
        <f>9600-3000</f>
        <v>6600</v>
      </c>
      <c r="G57" s="15" t="s">
        <v>424</v>
      </c>
      <c r="H57" s="8"/>
      <c r="I57" s="8"/>
      <c r="J57" s="8"/>
      <c r="K57" s="8"/>
      <c r="L57" s="8" t="s">
        <v>125</v>
      </c>
      <c r="M57" s="29">
        <v>6600</v>
      </c>
      <c r="N57" s="29">
        <f>F57-M57</f>
        <v>0</v>
      </c>
      <c r="O57" s="76"/>
      <c r="P57" s="19"/>
      <c r="Q57" s="65"/>
      <c r="R57" s="65"/>
      <c r="S57" s="65"/>
      <c r="T57" s="65"/>
      <c r="U57" s="65"/>
    </row>
    <row r="58" spans="1:21" s="35" customFormat="1" ht="37.5">
      <c r="A58" s="74">
        <v>48</v>
      </c>
      <c r="B58" s="16" t="s">
        <v>527</v>
      </c>
      <c r="C58" s="8" t="s">
        <v>565</v>
      </c>
      <c r="D58" s="8"/>
      <c r="E58" s="17">
        <v>8600</v>
      </c>
      <c r="F58" s="29"/>
      <c r="G58" s="8" t="s">
        <v>424</v>
      </c>
      <c r="H58" s="8"/>
      <c r="I58" s="8"/>
      <c r="J58" s="8"/>
      <c r="K58" s="8"/>
      <c r="L58" s="8" t="s">
        <v>125</v>
      </c>
      <c r="M58" s="29">
        <v>8600</v>
      </c>
      <c r="N58" s="29">
        <f>E58-M58</f>
        <v>0</v>
      </c>
      <c r="O58" s="76"/>
      <c r="P58" s="19"/>
      <c r="Q58" s="65"/>
      <c r="R58" s="65"/>
      <c r="S58" s="65"/>
      <c r="T58" s="65"/>
      <c r="U58" s="65"/>
    </row>
    <row r="59" spans="1:21" s="35" customFormat="1" ht="37.5">
      <c r="A59" s="74">
        <v>49</v>
      </c>
      <c r="B59" s="16" t="s">
        <v>534</v>
      </c>
      <c r="C59" s="8" t="s">
        <v>417</v>
      </c>
      <c r="D59" s="8"/>
      <c r="E59" s="17">
        <v>16000</v>
      </c>
      <c r="F59" s="29">
        <f>16000-100</f>
        <v>15900</v>
      </c>
      <c r="G59" s="15" t="s">
        <v>424</v>
      </c>
      <c r="H59" s="8"/>
      <c r="I59" s="8"/>
      <c r="J59" s="8"/>
      <c r="K59" s="8"/>
      <c r="L59" s="8" t="s">
        <v>125</v>
      </c>
      <c r="M59" s="29">
        <v>15900</v>
      </c>
      <c r="N59" s="29">
        <f>F59-M59</f>
        <v>0</v>
      </c>
      <c r="O59" s="76"/>
      <c r="P59" s="19"/>
      <c r="Q59" s="65"/>
      <c r="R59" s="65"/>
      <c r="S59" s="65"/>
      <c r="T59" s="65"/>
      <c r="U59" s="65"/>
    </row>
    <row r="60" spans="1:21" s="35" customFormat="1" ht="37.5">
      <c r="A60" s="74">
        <v>50</v>
      </c>
      <c r="B60" s="16" t="s">
        <v>566</v>
      </c>
      <c r="C60" s="8" t="s">
        <v>417</v>
      </c>
      <c r="D60" s="8"/>
      <c r="E60" s="17">
        <v>210000</v>
      </c>
      <c r="F60" s="29">
        <f>210000-38000-101639.84+54240</f>
        <v>124600.16</v>
      </c>
      <c r="G60" s="15" t="s">
        <v>424</v>
      </c>
      <c r="H60" s="8"/>
      <c r="I60" s="8"/>
      <c r="J60" s="8"/>
      <c r="K60" s="8"/>
      <c r="L60" s="8" t="s">
        <v>125</v>
      </c>
      <c r="M60" s="29">
        <f>+รายการ!N55</f>
        <v>124600.16</v>
      </c>
      <c r="N60" s="29">
        <f>F60-M60</f>
        <v>0</v>
      </c>
      <c r="O60" s="76"/>
      <c r="P60" s="19"/>
      <c r="Q60" s="65"/>
      <c r="R60" s="65"/>
      <c r="S60" s="65"/>
      <c r="T60" s="65"/>
      <c r="U60" s="65"/>
    </row>
    <row r="61" spans="1:21" s="35" customFormat="1">
      <c r="A61" s="74">
        <v>51</v>
      </c>
      <c r="B61" s="16" t="s">
        <v>97</v>
      </c>
      <c r="C61" s="8" t="s">
        <v>417</v>
      </c>
      <c r="D61" s="8"/>
      <c r="E61" s="17">
        <v>58000</v>
      </c>
      <c r="F61" s="29"/>
      <c r="G61" s="15" t="s">
        <v>424</v>
      </c>
      <c r="H61" s="8"/>
      <c r="I61" s="8"/>
      <c r="J61" s="8"/>
      <c r="K61" s="8"/>
      <c r="L61" s="8" t="s">
        <v>125</v>
      </c>
      <c r="M61" s="29">
        <f>+รายการ!S56</f>
        <v>57455</v>
      </c>
      <c r="N61" s="29">
        <f>E61-M61</f>
        <v>545</v>
      </c>
      <c r="O61" s="76"/>
      <c r="P61" s="19"/>
      <c r="Q61" s="65"/>
      <c r="R61" s="65"/>
      <c r="S61" s="65"/>
      <c r="T61" s="65"/>
      <c r="U61" s="65"/>
    </row>
    <row r="62" spans="1:21" s="35" customFormat="1">
      <c r="A62" s="74">
        <v>52</v>
      </c>
      <c r="B62" s="16" t="s">
        <v>535</v>
      </c>
      <c r="C62" s="8" t="s">
        <v>417</v>
      </c>
      <c r="D62" s="8"/>
      <c r="E62" s="17">
        <v>177480</v>
      </c>
      <c r="F62" s="29">
        <f>177480-94000+17707.24+714.68</f>
        <v>101901.92</v>
      </c>
      <c r="G62" s="15" t="s">
        <v>424</v>
      </c>
      <c r="H62" s="8"/>
      <c r="I62" s="8"/>
      <c r="J62" s="8"/>
      <c r="K62" s="8"/>
      <c r="L62" s="8" t="s">
        <v>125</v>
      </c>
      <c r="M62" s="29">
        <f>+รายการ!S57</f>
        <v>101187.24</v>
      </c>
      <c r="N62" s="29">
        <f>F62-M62</f>
        <v>714.67999999999302</v>
      </c>
      <c r="O62" s="76"/>
      <c r="P62" s="19"/>
      <c r="Q62" s="65"/>
      <c r="R62" s="65"/>
      <c r="S62" s="65"/>
      <c r="T62" s="65"/>
      <c r="U62" s="65"/>
    </row>
    <row r="63" spans="1:21" s="35" customFormat="1">
      <c r="A63" s="74">
        <v>53</v>
      </c>
      <c r="B63" s="16" t="s">
        <v>536</v>
      </c>
      <c r="C63" s="8" t="s">
        <v>417</v>
      </c>
      <c r="D63" s="8"/>
      <c r="E63" s="17">
        <v>423490</v>
      </c>
      <c r="F63" s="29">
        <f>+E63-154781.78</f>
        <v>268708.21999999997</v>
      </c>
      <c r="G63" s="15" t="s">
        <v>424</v>
      </c>
      <c r="H63" s="8"/>
      <c r="I63" s="8"/>
      <c r="J63" s="8"/>
      <c r="K63" s="8"/>
      <c r="L63" s="8" t="s">
        <v>125</v>
      </c>
      <c r="M63" s="29">
        <f>+รายการ!S58</f>
        <v>268708.21999999997</v>
      </c>
      <c r="N63" s="29">
        <f>F63-M63</f>
        <v>0</v>
      </c>
      <c r="O63" s="76"/>
      <c r="P63" s="19"/>
      <c r="Q63" s="65"/>
      <c r="R63" s="65"/>
      <c r="S63" s="65"/>
      <c r="T63" s="65"/>
      <c r="U63" s="65"/>
    </row>
    <row r="64" spans="1:21" s="35" customFormat="1" ht="37.5">
      <c r="A64" s="74">
        <v>54</v>
      </c>
      <c r="B64" s="16" t="s">
        <v>537</v>
      </c>
      <c r="C64" s="8" t="s">
        <v>417</v>
      </c>
      <c r="D64" s="8"/>
      <c r="E64" s="17">
        <v>18000</v>
      </c>
      <c r="F64" s="29">
        <f>18000-15000</f>
        <v>3000</v>
      </c>
      <c r="G64" s="15" t="s">
        <v>424</v>
      </c>
      <c r="H64" s="8"/>
      <c r="I64" s="8"/>
      <c r="J64" s="8"/>
      <c r="K64" s="8"/>
      <c r="L64" s="8" t="s">
        <v>125</v>
      </c>
      <c r="M64" s="29">
        <v>3000</v>
      </c>
      <c r="N64" s="29">
        <f>F64-M64</f>
        <v>0</v>
      </c>
      <c r="O64" s="76"/>
      <c r="P64" s="19"/>
      <c r="Q64" s="65"/>
      <c r="R64" s="65"/>
      <c r="S64" s="65"/>
      <c r="T64" s="65"/>
      <c r="U64" s="65"/>
    </row>
    <row r="65" spans="1:21" s="35" customFormat="1">
      <c r="A65" s="74">
        <v>55</v>
      </c>
      <c r="B65" s="16" t="s">
        <v>538</v>
      </c>
      <c r="C65" s="8" t="s">
        <v>417</v>
      </c>
      <c r="D65" s="8"/>
      <c r="E65" s="17">
        <v>96800</v>
      </c>
      <c r="F65" s="29">
        <f>96800-500</f>
        <v>96300</v>
      </c>
      <c r="G65" s="15" t="s">
        <v>424</v>
      </c>
      <c r="H65" s="8"/>
      <c r="I65" s="8"/>
      <c r="J65" s="8"/>
      <c r="K65" s="8"/>
      <c r="L65" s="8" t="s">
        <v>125</v>
      </c>
      <c r="M65" s="29">
        <v>96300</v>
      </c>
      <c r="N65" s="29">
        <f>F65-M65</f>
        <v>0</v>
      </c>
      <c r="O65" s="76"/>
      <c r="P65" s="19"/>
      <c r="Q65" s="65"/>
      <c r="R65" s="65"/>
      <c r="S65" s="65"/>
      <c r="T65" s="65"/>
      <c r="U65" s="65"/>
    </row>
    <row r="66" spans="1:21" s="35" customFormat="1" ht="37.5">
      <c r="A66" s="74">
        <v>56</v>
      </c>
      <c r="B66" s="16" t="s">
        <v>539</v>
      </c>
      <c r="C66" s="8" t="s">
        <v>417</v>
      </c>
      <c r="D66" s="8"/>
      <c r="E66" s="17">
        <v>150000</v>
      </c>
      <c r="F66" s="29"/>
      <c r="G66" s="15" t="s">
        <v>424</v>
      </c>
      <c r="H66" s="8"/>
      <c r="I66" s="8"/>
      <c r="J66" s="8"/>
      <c r="K66" s="8"/>
      <c r="L66" s="8" t="s">
        <v>125</v>
      </c>
      <c r="M66" s="29">
        <f>+รายการ!N61</f>
        <v>149500</v>
      </c>
      <c r="N66" s="29">
        <f>E66-M66</f>
        <v>500</v>
      </c>
      <c r="O66" s="76"/>
      <c r="P66" s="19"/>
      <c r="Q66" s="65"/>
      <c r="R66" s="65"/>
      <c r="S66" s="65"/>
      <c r="T66" s="65"/>
      <c r="U66" s="65"/>
    </row>
    <row r="67" spans="1:21" s="35" customFormat="1" ht="47.25">
      <c r="A67" s="74">
        <v>57</v>
      </c>
      <c r="B67" s="16" t="s">
        <v>458</v>
      </c>
      <c r="C67" s="8" t="s">
        <v>417</v>
      </c>
      <c r="D67" s="8"/>
      <c r="E67" s="17">
        <v>550000</v>
      </c>
      <c r="F67" s="29">
        <f>550000-500000-50000</f>
        <v>0</v>
      </c>
      <c r="G67" s="15" t="s">
        <v>424</v>
      </c>
      <c r="H67" s="8"/>
      <c r="I67" s="8"/>
      <c r="J67" s="8"/>
      <c r="K67" s="8"/>
      <c r="L67" s="8"/>
      <c r="M67" s="29">
        <f>+F67</f>
        <v>0</v>
      </c>
      <c r="N67" s="29">
        <f>F67-M67</f>
        <v>0</v>
      </c>
      <c r="O67" s="76"/>
      <c r="P67" s="14" t="s">
        <v>398</v>
      </c>
      <c r="Q67" s="65"/>
      <c r="R67" s="65"/>
      <c r="S67" s="65"/>
      <c r="T67" s="65"/>
      <c r="U67" s="65"/>
    </row>
    <row r="68" spans="1:21" s="35" customFormat="1" ht="37.5">
      <c r="A68" s="74">
        <v>58</v>
      </c>
      <c r="B68" s="16" t="s">
        <v>543</v>
      </c>
      <c r="C68" s="8" t="s">
        <v>417</v>
      </c>
      <c r="D68" s="8"/>
      <c r="E68" s="17">
        <v>5000</v>
      </c>
      <c r="F68" s="29"/>
      <c r="G68" s="15" t="s">
        <v>424</v>
      </c>
      <c r="H68" s="8"/>
      <c r="I68" s="8"/>
      <c r="J68" s="8"/>
      <c r="K68" s="8"/>
      <c r="L68" s="8" t="s">
        <v>125</v>
      </c>
      <c r="M68" s="29">
        <f>+รายการ!S63</f>
        <v>1629</v>
      </c>
      <c r="N68" s="29">
        <f>E68-M68</f>
        <v>3371</v>
      </c>
      <c r="O68" s="76"/>
      <c r="P68" s="19"/>
      <c r="Q68" s="65"/>
      <c r="R68" s="65"/>
      <c r="S68" s="65"/>
      <c r="T68" s="65"/>
      <c r="U68" s="65"/>
    </row>
    <row r="69" spans="1:21" s="35" customFormat="1" ht="37.5">
      <c r="A69" s="74">
        <v>59</v>
      </c>
      <c r="B69" s="16" t="s">
        <v>544</v>
      </c>
      <c r="C69" s="8" t="s">
        <v>417</v>
      </c>
      <c r="D69" s="8"/>
      <c r="E69" s="17">
        <v>5000</v>
      </c>
      <c r="F69" s="29"/>
      <c r="G69" s="15" t="s">
        <v>424</v>
      </c>
      <c r="H69" s="8"/>
      <c r="I69" s="8"/>
      <c r="J69" s="8"/>
      <c r="K69" s="8"/>
      <c r="L69" s="8" t="s">
        <v>125</v>
      </c>
      <c r="M69" s="29">
        <f>+รายการ!S64</f>
        <v>1703.16</v>
      </c>
      <c r="N69" s="29">
        <f>E69-M69</f>
        <v>3296.84</v>
      </c>
      <c r="O69" s="76"/>
      <c r="P69" s="19"/>
      <c r="Q69" s="65"/>
      <c r="R69" s="65"/>
      <c r="S69" s="65"/>
      <c r="T69" s="65"/>
      <c r="U69" s="65"/>
    </row>
    <row r="70" spans="1:21" s="35" customFormat="1" ht="37.5">
      <c r="A70" s="74">
        <v>60</v>
      </c>
      <c r="B70" s="16" t="s">
        <v>548</v>
      </c>
      <c r="C70" s="8" t="s">
        <v>417</v>
      </c>
      <c r="D70" s="8"/>
      <c r="E70" s="17">
        <v>188000</v>
      </c>
      <c r="F70" s="29">
        <f>188000-69215+3972+3590</f>
        <v>126347</v>
      </c>
      <c r="G70" s="15" t="s">
        <v>424</v>
      </c>
      <c r="H70" s="8"/>
      <c r="I70" s="8"/>
      <c r="J70" s="8"/>
      <c r="K70" s="8"/>
      <c r="L70" s="8" t="s">
        <v>125</v>
      </c>
      <c r="M70" s="29">
        <f>+รายการ!N65</f>
        <v>126347</v>
      </c>
      <c r="N70" s="29">
        <f>F70-M70</f>
        <v>0</v>
      </c>
      <c r="O70" s="76"/>
      <c r="P70" s="19"/>
      <c r="Q70" s="65"/>
      <c r="R70" s="65"/>
      <c r="S70" s="65"/>
      <c r="T70" s="65"/>
      <c r="U70" s="65"/>
    </row>
    <row r="71" spans="1:21" s="35" customFormat="1" ht="37.5">
      <c r="A71" s="74">
        <v>61</v>
      </c>
      <c r="B71" s="16" t="s">
        <v>465</v>
      </c>
      <c r="C71" s="8" t="s">
        <v>565</v>
      </c>
      <c r="D71" s="8"/>
      <c r="E71" s="17">
        <v>16000</v>
      </c>
      <c r="F71" s="29">
        <f>16000+570-2000</f>
        <v>14570</v>
      </c>
      <c r="G71" s="8" t="s">
        <v>412</v>
      </c>
      <c r="H71" s="8"/>
      <c r="I71" s="8"/>
      <c r="J71" s="8"/>
      <c r="K71" s="8"/>
      <c r="L71" s="8" t="s">
        <v>125</v>
      </c>
      <c r="M71" s="29">
        <f>+รายการ!S66</f>
        <v>14570</v>
      </c>
      <c r="N71" s="29">
        <f>F71-M71</f>
        <v>0</v>
      </c>
      <c r="O71" s="76"/>
      <c r="P71" s="19"/>
      <c r="Q71" s="65"/>
      <c r="R71" s="65"/>
      <c r="S71" s="65"/>
      <c r="T71" s="65"/>
      <c r="U71" s="65"/>
    </row>
    <row r="72" spans="1:21" s="35" customFormat="1" ht="37.5">
      <c r="A72" s="74">
        <v>62</v>
      </c>
      <c r="B72" s="19" t="s">
        <v>466</v>
      </c>
      <c r="C72" s="8" t="s">
        <v>565</v>
      </c>
      <c r="D72" s="8"/>
      <c r="E72" s="29">
        <v>470000</v>
      </c>
      <c r="F72" s="29">
        <f>470000-274000</f>
        <v>196000</v>
      </c>
      <c r="G72" s="8" t="s">
        <v>424</v>
      </c>
      <c r="H72" s="8"/>
      <c r="I72" s="8"/>
      <c r="J72" s="8"/>
      <c r="K72" s="8"/>
      <c r="L72" s="8" t="s">
        <v>125</v>
      </c>
      <c r="M72" s="29">
        <f>+รายการ!S67</f>
        <v>195560</v>
      </c>
      <c r="N72" s="29">
        <f>F72-M72</f>
        <v>440</v>
      </c>
      <c r="O72" s="76"/>
      <c r="P72" s="19"/>
      <c r="Q72" s="65"/>
      <c r="R72" s="65"/>
      <c r="S72" s="65"/>
      <c r="T72" s="65"/>
      <c r="U72" s="65"/>
    </row>
    <row r="73" spans="1:21" s="35" customFormat="1" ht="47.25">
      <c r="A73" s="74">
        <v>63</v>
      </c>
      <c r="B73" s="19" t="s">
        <v>549</v>
      </c>
      <c r="C73" s="8" t="s">
        <v>565</v>
      </c>
      <c r="D73" s="8"/>
      <c r="E73" s="29">
        <v>10000</v>
      </c>
      <c r="F73" s="29">
        <f>10000-1375-2000-570-6055</f>
        <v>0</v>
      </c>
      <c r="G73" s="8" t="s">
        <v>424</v>
      </c>
      <c r="H73" s="8"/>
      <c r="I73" s="8"/>
      <c r="J73" s="8"/>
      <c r="K73" s="8"/>
      <c r="L73" s="8"/>
      <c r="M73" s="29">
        <f>+รายการ!I68</f>
        <v>0</v>
      </c>
      <c r="N73" s="29">
        <f>F73-M73</f>
        <v>0</v>
      </c>
      <c r="O73" s="76"/>
      <c r="P73" s="14" t="s">
        <v>398</v>
      </c>
      <c r="Q73" s="65"/>
      <c r="R73" s="65"/>
      <c r="S73" s="65"/>
      <c r="T73" s="65"/>
      <c r="U73" s="65"/>
    </row>
    <row r="74" spans="1:21" s="35" customFormat="1">
      <c r="A74" s="74"/>
      <c r="B74" s="75" t="s">
        <v>168</v>
      </c>
      <c r="C74" s="8"/>
      <c r="D74" s="8"/>
      <c r="E74" s="29"/>
      <c r="F74" s="29"/>
      <c r="G74" s="8"/>
      <c r="H74" s="8"/>
      <c r="I74" s="8"/>
      <c r="J74" s="8"/>
      <c r="K74" s="8"/>
      <c r="L74" s="8"/>
      <c r="M74" s="29"/>
      <c r="N74" s="29"/>
      <c r="O74" s="76"/>
      <c r="P74" s="19"/>
      <c r="Q74" s="65"/>
      <c r="R74" s="65"/>
      <c r="S74" s="65"/>
      <c r="T74" s="65"/>
      <c r="U74" s="65"/>
    </row>
    <row r="75" spans="1:21" s="35" customFormat="1">
      <c r="A75" s="74">
        <v>64</v>
      </c>
      <c r="B75" s="16" t="s">
        <v>227</v>
      </c>
      <c r="C75" s="8" t="s">
        <v>168</v>
      </c>
      <c r="D75" s="8"/>
      <c r="E75" s="17">
        <v>100000</v>
      </c>
      <c r="F75" s="29">
        <f>100000+400000-50000+11500</f>
        <v>461500</v>
      </c>
      <c r="G75" s="15" t="s">
        <v>424</v>
      </c>
      <c r="H75" s="8"/>
      <c r="I75" s="8"/>
      <c r="J75" s="8"/>
      <c r="K75" s="8"/>
      <c r="L75" s="8" t="s">
        <v>125</v>
      </c>
      <c r="M75" s="29">
        <f>+รายการ!S71</f>
        <v>452600</v>
      </c>
      <c r="N75" s="29">
        <f t="shared" ref="N75:N80" si="4">F75-M75</f>
        <v>8900</v>
      </c>
      <c r="O75" s="76"/>
      <c r="P75" s="19"/>
      <c r="Q75" s="65"/>
      <c r="R75" s="65"/>
      <c r="S75" s="65"/>
      <c r="T75" s="65"/>
      <c r="U75" s="65"/>
    </row>
    <row r="76" spans="1:21" s="35" customFormat="1">
      <c r="A76" s="74">
        <v>65</v>
      </c>
      <c r="B76" s="16" t="s">
        <v>96</v>
      </c>
      <c r="C76" s="8" t="s">
        <v>168</v>
      </c>
      <c r="D76" s="8"/>
      <c r="E76" s="17">
        <v>150000</v>
      </c>
      <c r="F76" s="29">
        <f>150000-90000</f>
        <v>60000</v>
      </c>
      <c r="G76" s="15" t="s">
        <v>424</v>
      </c>
      <c r="H76" s="8"/>
      <c r="I76" s="8"/>
      <c r="J76" s="8"/>
      <c r="K76" s="8"/>
      <c r="L76" s="8" t="s">
        <v>125</v>
      </c>
      <c r="M76" s="29">
        <f>+รายการ!S72</f>
        <v>52861</v>
      </c>
      <c r="N76" s="29">
        <f t="shared" si="4"/>
        <v>7139</v>
      </c>
      <c r="O76" s="76"/>
      <c r="P76" s="19"/>
      <c r="Q76" s="65"/>
      <c r="R76" s="65"/>
      <c r="S76" s="65"/>
      <c r="T76" s="65"/>
      <c r="U76" s="65"/>
    </row>
    <row r="77" spans="1:21" s="35" customFormat="1">
      <c r="A77" s="74">
        <v>66</v>
      </c>
      <c r="B77" s="16" t="s">
        <v>550</v>
      </c>
      <c r="C77" s="8" t="s">
        <v>168</v>
      </c>
      <c r="D77" s="8"/>
      <c r="E77" s="17">
        <v>100000</v>
      </c>
      <c r="F77" s="29">
        <f>100000-32000+106300+20000+101639.84+103544+30489.9-50000</f>
        <v>379973.74</v>
      </c>
      <c r="G77" s="15" t="s">
        <v>424</v>
      </c>
      <c r="H77" s="8"/>
      <c r="I77" s="8"/>
      <c r="J77" s="8"/>
      <c r="K77" s="8"/>
      <c r="L77" s="8" t="s">
        <v>125</v>
      </c>
      <c r="M77" s="29">
        <f>+รายการ!S73</f>
        <v>370128</v>
      </c>
      <c r="N77" s="29">
        <f t="shared" si="4"/>
        <v>9845.7399999999907</v>
      </c>
      <c r="O77" s="76"/>
      <c r="P77" s="19"/>
      <c r="Q77" s="65"/>
      <c r="R77" s="65"/>
      <c r="S77" s="65"/>
      <c r="T77" s="65"/>
      <c r="U77" s="65"/>
    </row>
    <row r="78" spans="1:21" s="35" customFormat="1">
      <c r="A78" s="74">
        <v>67</v>
      </c>
      <c r="B78" s="16" t="s">
        <v>551</v>
      </c>
      <c r="C78" s="8" t="s">
        <v>168</v>
      </c>
      <c r="D78" s="8"/>
      <c r="E78" s="17">
        <v>100000</v>
      </c>
      <c r="F78" s="29">
        <f>+E78+50000</f>
        <v>150000</v>
      </c>
      <c r="G78" s="15" t="s">
        <v>424</v>
      </c>
      <c r="H78" s="8"/>
      <c r="I78" s="8"/>
      <c r="J78" s="8"/>
      <c r="K78" s="8"/>
      <c r="L78" s="8" t="s">
        <v>125</v>
      </c>
      <c r="M78" s="29">
        <f>+รายการ!N74</f>
        <v>150000</v>
      </c>
      <c r="N78" s="29">
        <f t="shared" si="4"/>
        <v>0</v>
      </c>
      <c r="O78" s="76"/>
      <c r="P78" s="19"/>
      <c r="Q78" s="65"/>
      <c r="R78" s="65"/>
      <c r="S78" s="65"/>
      <c r="T78" s="65"/>
      <c r="U78" s="65"/>
    </row>
    <row r="79" spans="1:21" s="35" customFormat="1" ht="56.25">
      <c r="A79" s="74">
        <v>68</v>
      </c>
      <c r="B79" s="16" t="s">
        <v>430</v>
      </c>
      <c r="C79" s="8" t="s">
        <v>168</v>
      </c>
      <c r="D79" s="8"/>
      <c r="E79" s="17">
        <v>32000</v>
      </c>
      <c r="F79" s="29">
        <f>32000-800</f>
        <v>31200</v>
      </c>
      <c r="G79" s="15" t="s">
        <v>424</v>
      </c>
      <c r="H79" s="8"/>
      <c r="I79" s="8"/>
      <c r="J79" s="8"/>
      <c r="K79" s="8"/>
      <c r="L79" s="8" t="s">
        <v>125</v>
      </c>
      <c r="M79" s="29">
        <v>31200</v>
      </c>
      <c r="N79" s="29">
        <f t="shared" si="4"/>
        <v>0</v>
      </c>
      <c r="O79" s="76"/>
      <c r="P79" s="19"/>
      <c r="Q79" s="65"/>
      <c r="R79" s="65"/>
      <c r="S79" s="65"/>
      <c r="T79" s="65"/>
      <c r="U79" s="65"/>
    </row>
    <row r="80" spans="1:21" s="35" customFormat="1" ht="37.5">
      <c r="A80" s="74">
        <v>69</v>
      </c>
      <c r="B80" s="16" t="s">
        <v>524</v>
      </c>
      <c r="C80" s="8" t="s">
        <v>168</v>
      </c>
      <c r="D80" s="8"/>
      <c r="E80" s="17">
        <v>6400</v>
      </c>
      <c r="F80" s="29">
        <f>6400-2000</f>
        <v>4400</v>
      </c>
      <c r="G80" s="15" t="s">
        <v>424</v>
      </c>
      <c r="H80" s="8"/>
      <c r="I80" s="8"/>
      <c r="J80" s="8"/>
      <c r="K80" s="8"/>
      <c r="L80" s="8" t="s">
        <v>125</v>
      </c>
      <c r="M80" s="29">
        <v>4400</v>
      </c>
      <c r="N80" s="29">
        <f t="shared" si="4"/>
        <v>0</v>
      </c>
      <c r="O80" s="76"/>
      <c r="P80" s="19"/>
      <c r="Q80" s="65"/>
      <c r="R80" s="65"/>
      <c r="S80" s="65"/>
      <c r="T80" s="65"/>
      <c r="U80" s="65"/>
    </row>
    <row r="81" spans="1:21" s="35" customFormat="1" ht="56.25">
      <c r="A81" s="74">
        <v>70</v>
      </c>
      <c r="B81" s="16" t="s">
        <v>634</v>
      </c>
      <c r="C81" s="8" t="s">
        <v>168</v>
      </c>
      <c r="D81" s="8"/>
      <c r="E81" s="17">
        <v>39400</v>
      </c>
      <c r="F81" s="29"/>
      <c r="G81" s="15" t="s">
        <v>424</v>
      </c>
      <c r="H81" s="8"/>
      <c r="I81" s="8"/>
      <c r="J81" s="8"/>
      <c r="K81" s="8"/>
      <c r="L81" s="8" t="s">
        <v>125</v>
      </c>
      <c r="M81" s="29">
        <v>39400</v>
      </c>
      <c r="N81" s="29">
        <f t="shared" ref="N81:N87" si="5">E81-M81</f>
        <v>0</v>
      </c>
      <c r="O81" s="76"/>
      <c r="P81" s="19"/>
      <c r="Q81" s="65"/>
      <c r="R81" s="65"/>
      <c r="S81" s="65"/>
      <c r="T81" s="65"/>
      <c r="U81" s="65"/>
    </row>
    <row r="82" spans="1:21" s="35" customFormat="1" ht="93.75">
      <c r="A82" s="74">
        <v>71</v>
      </c>
      <c r="B82" s="16" t="s">
        <v>633</v>
      </c>
      <c r="C82" s="8" t="s">
        <v>168</v>
      </c>
      <c r="D82" s="8"/>
      <c r="E82" s="17">
        <v>158500</v>
      </c>
      <c r="F82" s="29"/>
      <c r="G82" s="15" t="s">
        <v>424</v>
      </c>
      <c r="H82" s="8"/>
      <c r="I82" s="8"/>
      <c r="J82" s="8"/>
      <c r="K82" s="8"/>
      <c r="L82" s="8" t="s">
        <v>125</v>
      </c>
      <c r="M82" s="29">
        <v>130700</v>
      </c>
      <c r="N82" s="29">
        <f>E82-M82</f>
        <v>27800</v>
      </c>
      <c r="O82" s="76"/>
      <c r="P82" s="19"/>
      <c r="Q82" s="65"/>
      <c r="R82" s="65"/>
      <c r="S82" s="65"/>
      <c r="T82" s="65"/>
      <c r="U82" s="65"/>
    </row>
    <row r="83" spans="1:21" s="35" customFormat="1" ht="56.25">
      <c r="A83" s="74">
        <v>72</v>
      </c>
      <c r="B83" s="16" t="s">
        <v>567</v>
      </c>
      <c r="C83" s="8" t="s">
        <v>168</v>
      </c>
      <c r="D83" s="8"/>
      <c r="E83" s="17">
        <v>265000</v>
      </c>
      <c r="F83" s="29"/>
      <c r="G83" s="15" t="s">
        <v>424</v>
      </c>
      <c r="H83" s="8"/>
      <c r="I83" s="8"/>
      <c r="J83" s="8"/>
      <c r="K83" s="8"/>
      <c r="L83" s="8" t="s">
        <v>125</v>
      </c>
      <c r="M83" s="29">
        <v>196000</v>
      </c>
      <c r="N83" s="29">
        <f t="shared" si="5"/>
        <v>69000</v>
      </c>
      <c r="O83" s="76"/>
      <c r="P83" s="19"/>
      <c r="Q83" s="65"/>
      <c r="R83" s="65"/>
      <c r="S83" s="65"/>
      <c r="T83" s="65"/>
      <c r="U83" s="65"/>
    </row>
    <row r="84" spans="1:21" s="35" customFormat="1" ht="56.25">
      <c r="A84" s="74">
        <v>73</v>
      </c>
      <c r="B84" s="16" t="s">
        <v>474</v>
      </c>
      <c r="C84" s="8" t="s">
        <v>168</v>
      </c>
      <c r="D84" s="8"/>
      <c r="E84" s="17">
        <v>99300</v>
      </c>
      <c r="F84" s="29"/>
      <c r="G84" s="15" t="s">
        <v>424</v>
      </c>
      <c r="H84" s="8"/>
      <c r="I84" s="8"/>
      <c r="J84" s="8"/>
      <c r="K84" s="8"/>
      <c r="L84" s="8" t="s">
        <v>125</v>
      </c>
      <c r="M84" s="29">
        <v>99300</v>
      </c>
      <c r="N84" s="29">
        <f t="shared" si="5"/>
        <v>0</v>
      </c>
      <c r="O84" s="76"/>
      <c r="P84" s="19"/>
      <c r="Q84" s="65"/>
      <c r="R84" s="65"/>
      <c r="S84" s="65"/>
      <c r="T84" s="65"/>
      <c r="U84" s="65"/>
    </row>
    <row r="85" spans="1:21" s="35" customFormat="1" ht="56.25">
      <c r="A85" s="74">
        <v>74</v>
      </c>
      <c r="B85" s="16" t="s">
        <v>552</v>
      </c>
      <c r="C85" s="8" t="s">
        <v>168</v>
      </c>
      <c r="D85" s="8"/>
      <c r="E85" s="17">
        <v>121200</v>
      </c>
      <c r="F85" s="29"/>
      <c r="G85" s="15" t="s">
        <v>424</v>
      </c>
      <c r="H85" s="8"/>
      <c r="I85" s="8"/>
      <c r="J85" s="8"/>
      <c r="K85" s="8"/>
      <c r="L85" s="8" t="s">
        <v>125</v>
      </c>
      <c r="M85" s="29">
        <v>121200</v>
      </c>
      <c r="N85" s="29">
        <f t="shared" si="5"/>
        <v>0</v>
      </c>
      <c r="O85" s="76"/>
      <c r="P85" s="19"/>
      <c r="Q85" s="65"/>
      <c r="R85" s="65"/>
      <c r="S85" s="65"/>
      <c r="T85" s="65"/>
      <c r="U85" s="65"/>
    </row>
    <row r="86" spans="1:21" s="35" customFormat="1" ht="37.5">
      <c r="A86" s="74">
        <v>75</v>
      </c>
      <c r="B86" s="16" t="s">
        <v>553</v>
      </c>
      <c r="C86" s="8" t="s">
        <v>168</v>
      </c>
      <c r="D86" s="8"/>
      <c r="E86" s="17">
        <v>99700</v>
      </c>
      <c r="F86" s="29"/>
      <c r="G86" s="15" t="s">
        <v>424</v>
      </c>
      <c r="H86" s="8"/>
      <c r="I86" s="8"/>
      <c r="J86" s="8"/>
      <c r="K86" s="8"/>
      <c r="L86" s="8" t="s">
        <v>125</v>
      </c>
      <c r="M86" s="281">
        <v>99700</v>
      </c>
      <c r="N86" s="29">
        <f t="shared" si="5"/>
        <v>0</v>
      </c>
      <c r="O86" s="76"/>
      <c r="P86" s="19"/>
      <c r="Q86" s="65"/>
      <c r="R86" s="65"/>
      <c r="S86" s="65"/>
      <c r="T86" s="65"/>
      <c r="U86" s="65"/>
    </row>
    <row r="87" spans="1:21" s="35" customFormat="1" ht="37.5">
      <c r="A87" s="74">
        <v>76</v>
      </c>
      <c r="B87" s="16" t="s">
        <v>554</v>
      </c>
      <c r="C87" s="8" t="s">
        <v>168</v>
      </c>
      <c r="D87" s="8"/>
      <c r="E87" s="17">
        <v>99500</v>
      </c>
      <c r="F87" s="29"/>
      <c r="G87" s="15" t="s">
        <v>424</v>
      </c>
      <c r="H87" s="8"/>
      <c r="I87" s="8"/>
      <c r="J87" s="8"/>
      <c r="K87" s="8"/>
      <c r="L87" s="8" t="s">
        <v>125</v>
      </c>
      <c r="M87" s="29">
        <v>99500</v>
      </c>
      <c r="N87" s="29">
        <f t="shared" si="5"/>
        <v>0</v>
      </c>
      <c r="O87" s="76"/>
      <c r="P87" s="19"/>
      <c r="Q87" s="65"/>
      <c r="R87" s="65"/>
      <c r="S87" s="65"/>
      <c r="T87" s="65"/>
      <c r="U87" s="65"/>
    </row>
    <row r="88" spans="1:21" s="35" customFormat="1" ht="37.5">
      <c r="A88" s="74">
        <v>77</v>
      </c>
      <c r="B88" s="16" t="s">
        <v>379</v>
      </c>
      <c r="C88" s="8" t="s">
        <v>168</v>
      </c>
      <c r="D88" s="8"/>
      <c r="E88" s="17">
        <v>227500</v>
      </c>
      <c r="F88" s="29">
        <f>227500-3400</f>
        <v>224100</v>
      </c>
      <c r="G88" s="15" t="s">
        <v>424</v>
      </c>
      <c r="H88" s="8"/>
      <c r="I88" s="8"/>
      <c r="J88" s="8"/>
      <c r="K88" s="8"/>
      <c r="L88" s="8" t="s">
        <v>125</v>
      </c>
      <c r="M88" s="29">
        <v>224100</v>
      </c>
      <c r="N88" s="29">
        <f>F88-M88</f>
        <v>0</v>
      </c>
      <c r="O88" s="76"/>
      <c r="P88" s="19"/>
      <c r="Q88" s="65"/>
      <c r="R88" s="65"/>
      <c r="S88" s="65"/>
      <c r="T88" s="65"/>
      <c r="U88" s="65"/>
    </row>
    <row r="89" spans="1:21" s="35" customFormat="1" ht="37.5">
      <c r="A89" s="74">
        <v>78</v>
      </c>
      <c r="B89" s="16" t="s">
        <v>380</v>
      </c>
      <c r="C89" s="8" t="s">
        <v>168</v>
      </c>
      <c r="D89" s="8"/>
      <c r="E89" s="17">
        <v>99900</v>
      </c>
      <c r="F89" s="29">
        <f>99900-6500</f>
        <v>93400</v>
      </c>
      <c r="G89" s="15" t="s">
        <v>424</v>
      </c>
      <c r="H89" s="8"/>
      <c r="I89" s="8"/>
      <c r="J89" s="8"/>
      <c r="K89" s="8"/>
      <c r="L89" s="8" t="s">
        <v>125</v>
      </c>
      <c r="M89" s="29">
        <v>93400</v>
      </c>
      <c r="N89" s="29">
        <f>F89-M89</f>
        <v>0</v>
      </c>
      <c r="O89" s="76"/>
      <c r="P89" s="19"/>
      <c r="Q89" s="65"/>
      <c r="R89" s="65"/>
      <c r="S89" s="65"/>
      <c r="T89" s="65"/>
      <c r="U89" s="65"/>
    </row>
    <row r="90" spans="1:21" s="35" customFormat="1" ht="37.5">
      <c r="A90" s="74">
        <v>79</v>
      </c>
      <c r="B90" s="16" t="s">
        <v>381</v>
      </c>
      <c r="C90" s="8" t="s">
        <v>168</v>
      </c>
      <c r="D90" s="8"/>
      <c r="E90" s="17">
        <v>243700</v>
      </c>
      <c r="F90" s="29">
        <f>243700-16500</f>
        <v>227200</v>
      </c>
      <c r="G90" s="15" t="s">
        <v>424</v>
      </c>
      <c r="H90" s="8"/>
      <c r="I90" s="8"/>
      <c r="J90" s="8"/>
      <c r="K90" s="8"/>
      <c r="L90" s="8" t="s">
        <v>125</v>
      </c>
      <c r="M90" s="29">
        <v>227200</v>
      </c>
      <c r="N90" s="29">
        <f>F90-M90</f>
        <v>0</v>
      </c>
      <c r="O90" s="76"/>
      <c r="P90" s="19"/>
      <c r="Q90" s="65"/>
      <c r="R90" s="65"/>
      <c r="S90" s="65"/>
      <c r="T90" s="65"/>
      <c r="U90" s="65"/>
    </row>
    <row r="91" spans="1:21" s="35" customFormat="1" ht="37.5">
      <c r="A91" s="74">
        <v>80</v>
      </c>
      <c r="B91" s="16" t="s">
        <v>478</v>
      </c>
      <c r="C91" s="8" t="s">
        <v>168</v>
      </c>
      <c r="D91" s="8"/>
      <c r="E91" s="17">
        <v>165000</v>
      </c>
      <c r="F91" s="29">
        <f>165000-1900</f>
        <v>163100</v>
      </c>
      <c r="G91" s="15" t="s">
        <v>424</v>
      </c>
      <c r="H91" s="8"/>
      <c r="I91" s="8"/>
      <c r="J91" s="8"/>
      <c r="K91" s="8"/>
      <c r="L91" s="8" t="s">
        <v>125</v>
      </c>
      <c r="M91" s="29">
        <v>163100</v>
      </c>
      <c r="N91" s="29">
        <f>F91-M91</f>
        <v>0</v>
      </c>
      <c r="O91" s="76"/>
      <c r="P91" s="19"/>
      <c r="Q91" s="65"/>
      <c r="R91" s="65"/>
      <c r="S91" s="65"/>
      <c r="T91" s="65"/>
      <c r="U91" s="65"/>
    </row>
    <row r="92" spans="1:21" s="35" customFormat="1" ht="37.5">
      <c r="A92" s="74">
        <v>81</v>
      </c>
      <c r="B92" s="16" t="s">
        <v>555</v>
      </c>
      <c r="C92" s="8" t="s">
        <v>168</v>
      </c>
      <c r="D92" s="8"/>
      <c r="E92" s="17">
        <v>165000</v>
      </c>
      <c r="F92" s="29"/>
      <c r="G92" s="15" t="s">
        <v>424</v>
      </c>
      <c r="H92" s="8"/>
      <c r="I92" s="8"/>
      <c r="J92" s="8"/>
      <c r="K92" s="8"/>
      <c r="L92" s="8" t="s">
        <v>125</v>
      </c>
      <c r="M92" s="29">
        <f>+รายการ!N87</f>
        <v>164500</v>
      </c>
      <c r="N92" s="29">
        <f>E92-M92</f>
        <v>500</v>
      </c>
      <c r="O92" s="76"/>
      <c r="P92" s="19"/>
      <c r="Q92" s="65"/>
      <c r="R92" s="65"/>
      <c r="S92" s="65"/>
      <c r="T92" s="65"/>
      <c r="U92" s="65"/>
    </row>
    <row r="93" spans="1:21" s="35" customFormat="1" ht="56.25">
      <c r="A93" s="74">
        <v>82</v>
      </c>
      <c r="B93" s="16" t="s">
        <v>382</v>
      </c>
      <c r="C93" s="8" t="s">
        <v>168</v>
      </c>
      <c r="D93" s="8"/>
      <c r="E93" s="17">
        <v>197000</v>
      </c>
      <c r="F93" s="29">
        <f>197000-54000</f>
        <v>143000</v>
      </c>
      <c r="G93" s="15" t="s">
        <v>424</v>
      </c>
      <c r="H93" s="8"/>
      <c r="I93" s="8"/>
      <c r="J93" s="8"/>
      <c r="K93" s="8"/>
      <c r="L93" s="8" t="s">
        <v>125</v>
      </c>
      <c r="M93" s="29">
        <f>+รายการ!I88</f>
        <v>143000</v>
      </c>
      <c r="N93" s="29">
        <f>F93-M93</f>
        <v>0</v>
      </c>
      <c r="O93" s="76"/>
      <c r="P93" s="19"/>
      <c r="Q93" s="65"/>
      <c r="R93" s="65"/>
      <c r="S93" s="65"/>
      <c r="T93" s="65"/>
      <c r="U93" s="65"/>
    </row>
    <row r="94" spans="1:21" s="35" customFormat="1" ht="56.25">
      <c r="A94" s="74">
        <v>83</v>
      </c>
      <c r="B94" s="16" t="s">
        <v>556</v>
      </c>
      <c r="C94" s="8" t="s">
        <v>168</v>
      </c>
      <c r="D94" s="8"/>
      <c r="E94" s="17">
        <v>213000</v>
      </c>
      <c r="F94" s="29"/>
      <c r="G94" s="15" t="s">
        <v>424</v>
      </c>
      <c r="H94" s="8"/>
      <c r="I94" s="8"/>
      <c r="J94" s="8"/>
      <c r="K94" s="8"/>
      <c r="L94" s="8" t="s">
        <v>125</v>
      </c>
      <c r="M94" s="29">
        <v>213000</v>
      </c>
      <c r="N94" s="29">
        <f>E94-M94</f>
        <v>0</v>
      </c>
      <c r="O94" s="76"/>
      <c r="P94" s="19"/>
      <c r="Q94" s="65"/>
      <c r="R94" s="65"/>
      <c r="S94" s="65"/>
      <c r="T94" s="65"/>
      <c r="U94" s="65"/>
    </row>
    <row r="95" spans="1:21" s="35" customFormat="1" ht="56.25">
      <c r="A95" s="74">
        <v>84</v>
      </c>
      <c r="B95" s="16" t="s">
        <v>383</v>
      </c>
      <c r="C95" s="8" t="s">
        <v>168</v>
      </c>
      <c r="D95" s="8"/>
      <c r="E95" s="17">
        <v>139000</v>
      </c>
      <c r="F95" s="29"/>
      <c r="G95" s="15" t="s">
        <v>424</v>
      </c>
      <c r="H95" s="8"/>
      <c r="I95" s="8"/>
      <c r="J95" s="8"/>
      <c r="K95" s="8"/>
      <c r="L95" s="8" t="s">
        <v>125</v>
      </c>
      <c r="M95" s="29">
        <v>139000</v>
      </c>
      <c r="N95" s="29">
        <f>E95-M95</f>
        <v>0</v>
      </c>
      <c r="O95" s="76"/>
      <c r="P95" s="19"/>
      <c r="Q95" s="65"/>
      <c r="R95" s="65"/>
      <c r="S95" s="65"/>
      <c r="T95" s="65"/>
      <c r="U95" s="65"/>
    </row>
    <row r="96" spans="1:21" s="35" customFormat="1" ht="37.5">
      <c r="A96" s="74">
        <v>85</v>
      </c>
      <c r="B96" s="16" t="s">
        <v>569</v>
      </c>
      <c r="C96" s="8" t="s">
        <v>168</v>
      </c>
      <c r="D96" s="8"/>
      <c r="E96" s="17">
        <v>99000</v>
      </c>
      <c r="F96" s="29">
        <f>99000-350</f>
        <v>98650</v>
      </c>
      <c r="G96" s="15" t="s">
        <v>424</v>
      </c>
      <c r="H96" s="8"/>
      <c r="I96" s="8"/>
      <c r="J96" s="8"/>
      <c r="K96" s="8"/>
      <c r="L96" s="8" t="s">
        <v>125</v>
      </c>
      <c r="M96" s="29">
        <v>98650</v>
      </c>
      <c r="N96" s="29">
        <f>F96-M96</f>
        <v>0</v>
      </c>
      <c r="O96" s="76"/>
      <c r="P96" s="19"/>
      <c r="Q96" s="65"/>
      <c r="R96" s="65"/>
      <c r="S96" s="65"/>
      <c r="T96" s="65"/>
      <c r="U96" s="65"/>
    </row>
    <row r="97" spans="1:21" s="35" customFormat="1" ht="37.5">
      <c r="A97" s="74">
        <v>86</v>
      </c>
      <c r="B97" s="16" t="s">
        <v>557</v>
      </c>
      <c r="C97" s="8" t="s">
        <v>168</v>
      </c>
      <c r="D97" s="8"/>
      <c r="E97" s="17">
        <v>99600</v>
      </c>
      <c r="F97" s="29"/>
      <c r="G97" s="15" t="s">
        <v>424</v>
      </c>
      <c r="H97" s="8"/>
      <c r="I97" s="8"/>
      <c r="J97" s="8"/>
      <c r="K97" s="8"/>
      <c r="L97" s="8" t="s">
        <v>125</v>
      </c>
      <c r="M97" s="29">
        <v>99600</v>
      </c>
      <c r="N97" s="29">
        <f>E97-M97</f>
        <v>0</v>
      </c>
      <c r="O97" s="76"/>
      <c r="P97" s="19"/>
      <c r="Q97" s="65"/>
      <c r="R97" s="65"/>
      <c r="S97" s="65"/>
      <c r="T97" s="65"/>
      <c r="U97" s="65"/>
    </row>
    <row r="98" spans="1:21" s="35" customFormat="1" ht="37.5">
      <c r="A98" s="74">
        <v>87</v>
      </c>
      <c r="B98" s="16" t="s">
        <v>558</v>
      </c>
      <c r="C98" s="8" t="s">
        <v>168</v>
      </c>
      <c r="D98" s="8"/>
      <c r="E98" s="17">
        <v>99500</v>
      </c>
      <c r="F98" s="29">
        <f>99500-500</f>
        <v>99000</v>
      </c>
      <c r="G98" s="15" t="s">
        <v>424</v>
      </c>
      <c r="H98" s="8"/>
      <c r="I98" s="8"/>
      <c r="J98" s="8"/>
      <c r="K98" s="8"/>
      <c r="L98" s="8" t="s">
        <v>125</v>
      </c>
      <c r="M98" s="29">
        <v>99000</v>
      </c>
      <c r="N98" s="29">
        <f>F98-M98</f>
        <v>0</v>
      </c>
      <c r="O98" s="76"/>
      <c r="P98" s="19"/>
      <c r="Q98" s="65"/>
      <c r="R98" s="65"/>
      <c r="S98" s="65"/>
      <c r="T98" s="65"/>
      <c r="U98" s="65"/>
    </row>
    <row r="99" spans="1:21" s="35" customFormat="1" ht="37.5">
      <c r="A99" s="74">
        <v>88</v>
      </c>
      <c r="B99" s="16" t="s">
        <v>559</v>
      </c>
      <c r="C99" s="8" t="s">
        <v>168</v>
      </c>
      <c r="D99" s="8"/>
      <c r="E99" s="17">
        <v>99700</v>
      </c>
      <c r="F99" s="29">
        <f>99700-500</f>
        <v>99200</v>
      </c>
      <c r="G99" s="15" t="s">
        <v>424</v>
      </c>
      <c r="H99" s="8"/>
      <c r="I99" s="8"/>
      <c r="J99" s="8"/>
      <c r="K99" s="8"/>
      <c r="L99" s="8" t="s">
        <v>125</v>
      </c>
      <c r="M99" s="29">
        <v>99200</v>
      </c>
      <c r="N99" s="29">
        <f>F99-M99</f>
        <v>0</v>
      </c>
      <c r="O99" s="76"/>
      <c r="P99" s="19"/>
      <c r="Q99" s="65"/>
      <c r="R99" s="65"/>
      <c r="S99" s="65"/>
      <c r="T99" s="65"/>
      <c r="U99" s="65"/>
    </row>
    <row r="100" spans="1:21" s="35" customFormat="1" ht="37.5">
      <c r="A100" s="74">
        <v>89</v>
      </c>
      <c r="B100" s="16" t="s">
        <v>560</v>
      </c>
      <c r="C100" s="8" t="s">
        <v>168</v>
      </c>
      <c r="D100" s="8"/>
      <c r="E100" s="17">
        <v>99400</v>
      </c>
      <c r="F100" s="29">
        <f>99400-400</f>
        <v>99000</v>
      </c>
      <c r="G100" s="15" t="s">
        <v>424</v>
      </c>
      <c r="H100" s="8"/>
      <c r="I100" s="8"/>
      <c r="J100" s="8"/>
      <c r="K100" s="8"/>
      <c r="L100" s="8" t="s">
        <v>125</v>
      </c>
      <c r="M100" s="29">
        <v>99000</v>
      </c>
      <c r="N100" s="29">
        <f>F100-M100</f>
        <v>0</v>
      </c>
      <c r="O100" s="76"/>
      <c r="P100" s="19"/>
      <c r="Q100" s="65"/>
      <c r="R100" s="65"/>
      <c r="S100" s="65"/>
      <c r="T100" s="65"/>
      <c r="U100" s="65"/>
    </row>
    <row r="101" spans="1:21" s="35" customFormat="1">
      <c r="A101" s="74">
        <v>90</v>
      </c>
      <c r="B101" s="16" t="s">
        <v>102</v>
      </c>
      <c r="C101" s="8" t="s">
        <v>168</v>
      </c>
      <c r="D101" s="8"/>
      <c r="E101" s="17">
        <v>100000</v>
      </c>
      <c r="F101" s="29"/>
      <c r="G101" s="15" t="s">
        <v>424</v>
      </c>
      <c r="H101" s="8"/>
      <c r="I101" s="8"/>
      <c r="J101" s="8"/>
      <c r="K101" s="8"/>
      <c r="L101" s="8" t="s">
        <v>125</v>
      </c>
      <c r="M101" s="29">
        <f>+รายการ!N96+90450</f>
        <v>90980</v>
      </c>
      <c r="N101" s="29">
        <f>E101-M101</f>
        <v>9020</v>
      </c>
      <c r="O101" s="76"/>
      <c r="P101" s="19"/>
      <c r="Q101" s="65"/>
      <c r="R101" s="65"/>
      <c r="S101" s="65"/>
      <c r="T101" s="65"/>
      <c r="U101" s="65"/>
    </row>
    <row r="102" spans="1:21" s="35" customFormat="1" ht="56.25">
      <c r="A102" s="74">
        <v>91</v>
      </c>
      <c r="B102" s="16" t="s">
        <v>561</v>
      </c>
      <c r="C102" s="8" t="s">
        <v>168</v>
      </c>
      <c r="D102" s="8"/>
      <c r="E102" s="17">
        <v>97900</v>
      </c>
      <c r="F102" s="29">
        <f>97900-70000</f>
        <v>27900</v>
      </c>
      <c r="G102" s="15" t="s">
        <v>424</v>
      </c>
      <c r="H102" s="8"/>
      <c r="I102" s="8"/>
      <c r="J102" s="8"/>
      <c r="K102" s="8"/>
      <c r="L102" s="8" t="s">
        <v>125</v>
      </c>
      <c r="M102" s="29">
        <f>+รายการ!N97</f>
        <v>24400</v>
      </c>
      <c r="N102" s="29">
        <f>F102-M102</f>
        <v>3500</v>
      </c>
      <c r="O102" s="76"/>
      <c r="P102" s="19"/>
      <c r="Q102" s="65"/>
      <c r="R102" s="65"/>
      <c r="S102" s="65"/>
      <c r="T102" s="65"/>
      <c r="U102" s="65"/>
    </row>
    <row r="103" spans="1:21" s="35" customFormat="1" ht="37.5">
      <c r="A103" s="74">
        <v>92</v>
      </c>
      <c r="B103" s="16" t="s">
        <v>520</v>
      </c>
      <c r="C103" s="8" t="s">
        <v>168</v>
      </c>
      <c r="D103" s="8"/>
      <c r="E103" s="17">
        <v>2694400</v>
      </c>
      <c r="F103" s="29"/>
      <c r="G103" s="15" t="s">
        <v>424</v>
      </c>
      <c r="H103" s="8"/>
      <c r="I103" s="8"/>
      <c r="J103" s="8"/>
      <c r="K103" s="8"/>
      <c r="L103" s="8" t="s">
        <v>125</v>
      </c>
      <c r="M103" s="29">
        <v>2425042</v>
      </c>
      <c r="N103" s="29">
        <f t="shared" ref="N103:N109" si="6">E103-M103</f>
        <v>269358</v>
      </c>
      <c r="O103" s="76"/>
      <c r="P103" s="19"/>
      <c r="Q103" s="65"/>
      <c r="R103" s="65"/>
      <c r="S103" s="65"/>
      <c r="T103" s="65"/>
      <c r="U103" s="65"/>
    </row>
    <row r="104" spans="1:21" s="35" customFormat="1" ht="37.5">
      <c r="A104" s="74">
        <v>93</v>
      </c>
      <c r="B104" s="16" t="s">
        <v>521</v>
      </c>
      <c r="C104" s="8" t="s">
        <v>168</v>
      </c>
      <c r="D104" s="8"/>
      <c r="E104" s="17">
        <v>2694400</v>
      </c>
      <c r="F104" s="29"/>
      <c r="G104" s="15" t="s">
        <v>424</v>
      </c>
      <c r="H104" s="8"/>
      <c r="I104" s="8"/>
      <c r="J104" s="8"/>
      <c r="K104" s="8"/>
      <c r="L104" s="8" t="s">
        <v>125</v>
      </c>
      <c r="M104" s="29">
        <v>2347042</v>
      </c>
      <c r="N104" s="29">
        <f t="shared" si="6"/>
        <v>347358</v>
      </c>
      <c r="O104" s="76"/>
      <c r="P104" s="19"/>
      <c r="Q104" s="65"/>
      <c r="R104" s="65"/>
      <c r="S104" s="65"/>
      <c r="T104" s="65"/>
      <c r="U104" s="65"/>
    </row>
    <row r="105" spans="1:21" s="35" customFormat="1" ht="37.5">
      <c r="A105" s="74">
        <v>94</v>
      </c>
      <c r="B105" s="16" t="s">
        <v>522</v>
      </c>
      <c r="C105" s="8" t="s">
        <v>168</v>
      </c>
      <c r="D105" s="8"/>
      <c r="E105" s="17">
        <v>499700</v>
      </c>
      <c r="F105" s="29"/>
      <c r="G105" s="15" t="s">
        <v>568</v>
      </c>
      <c r="H105" s="8"/>
      <c r="I105" s="8"/>
      <c r="J105" s="8"/>
      <c r="K105" s="8"/>
      <c r="L105" s="8" t="s">
        <v>125</v>
      </c>
      <c r="M105" s="29">
        <v>499700</v>
      </c>
      <c r="N105" s="29">
        <f t="shared" si="6"/>
        <v>0</v>
      </c>
      <c r="O105" s="76"/>
      <c r="P105" s="19"/>
      <c r="Q105" s="65"/>
      <c r="R105" s="65"/>
      <c r="S105" s="65"/>
      <c r="T105" s="65"/>
      <c r="U105" s="65"/>
    </row>
    <row r="106" spans="1:21" s="35" customFormat="1">
      <c r="A106" s="74">
        <v>95</v>
      </c>
      <c r="B106" s="16" t="s">
        <v>421</v>
      </c>
      <c r="C106" s="8" t="s">
        <v>168</v>
      </c>
      <c r="D106" s="8"/>
      <c r="E106" s="17">
        <v>303773</v>
      </c>
      <c r="F106" s="29"/>
      <c r="G106" s="15" t="s">
        <v>568</v>
      </c>
      <c r="H106" s="8"/>
      <c r="I106" s="8"/>
      <c r="J106" s="8"/>
      <c r="K106" s="8"/>
      <c r="L106" s="8" t="s">
        <v>125</v>
      </c>
      <c r="M106" s="29">
        <v>300000</v>
      </c>
      <c r="N106" s="29">
        <f t="shared" si="6"/>
        <v>3773</v>
      </c>
      <c r="O106" s="76"/>
      <c r="P106" s="19"/>
      <c r="Q106" s="65"/>
      <c r="R106" s="65"/>
      <c r="S106" s="65"/>
      <c r="T106" s="65"/>
      <c r="U106" s="65"/>
    </row>
    <row r="107" spans="1:21" s="35" customFormat="1" ht="37.5">
      <c r="A107" s="74">
        <v>96</v>
      </c>
      <c r="B107" s="16" t="s">
        <v>562</v>
      </c>
      <c r="C107" s="8" t="s">
        <v>168</v>
      </c>
      <c r="D107" s="8"/>
      <c r="E107" s="17">
        <v>181000</v>
      </c>
      <c r="F107" s="29"/>
      <c r="G107" s="15" t="s">
        <v>568</v>
      </c>
      <c r="H107" s="8"/>
      <c r="I107" s="8"/>
      <c r="J107" s="8"/>
      <c r="K107" s="8"/>
      <c r="L107" s="8" t="s">
        <v>125</v>
      </c>
      <c r="M107" s="29">
        <v>181000</v>
      </c>
      <c r="N107" s="29">
        <f t="shared" si="6"/>
        <v>0</v>
      </c>
      <c r="O107" s="76"/>
      <c r="P107" s="19"/>
      <c r="Q107" s="65"/>
      <c r="R107" s="65"/>
      <c r="S107" s="65"/>
      <c r="T107" s="65"/>
      <c r="U107" s="65"/>
    </row>
    <row r="108" spans="1:21" s="35" customFormat="1" ht="37.5">
      <c r="A108" s="74">
        <v>97</v>
      </c>
      <c r="B108" s="16" t="s">
        <v>563</v>
      </c>
      <c r="C108" s="8" t="s">
        <v>168</v>
      </c>
      <c r="D108" s="8"/>
      <c r="E108" s="17">
        <v>171000</v>
      </c>
      <c r="F108" s="29"/>
      <c r="G108" s="15" t="s">
        <v>568</v>
      </c>
      <c r="H108" s="8"/>
      <c r="I108" s="8"/>
      <c r="J108" s="8"/>
      <c r="K108" s="8"/>
      <c r="L108" s="8" t="s">
        <v>125</v>
      </c>
      <c r="M108" s="29">
        <v>171000</v>
      </c>
      <c r="N108" s="29">
        <f t="shared" si="6"/>
        <v>0</v>
      </c>
      <c r="O108" s="76"/>
      <c r="P108" s="19"/>
      <c r="Q108" s="65"/>
      <c r="R108" s="65"/>
      <c r="S108" s="65"/>
      <c r="T108" s="65"/>
      <c r="U108" s="65"/>
    </row>
    <row r="109" spans="1:21" s="35" customFormat="1" ht="37.5">
      <c r="A109" s="74">
        <v>98</v>
      </c>
      <c r="B109" s="16" t="s">
        <v>564</v>
      </c>
      <c r="C109" s="8" t="s">
        <v>168</v>
      </c>
      <c r="D109" s="8"/>
      <c r="E109" s="17">
        <v>148000</v>
      </c>
      <c r="F109" s="29"/>
      <c r="G109" s="8" t="s">
        <v>568</v>
      </c>
      <c r="H109" s="8"/>
      <c r="I109" s="8"/>
      <c r="J109" s="8"/>
      <c r="K109" s="8"/>
      <c r="L109" s="8" t="s">
        <v>125</v>
      </c>
      <c r="M109" s="29">
        <v>148000</v>
      </c>
      <c r="N109" s="29">
        <f t="shared" si="6"/>
        <v>0</v>
      </c>
      <c r="O109" s="76"/>
      <c r="P109" s="19"/>
      <c r="Q109" s="65"/>
      <c r="R109" s="65"/>
      <c r="S109" s="65"/>
      <c r="T109" s="65"/>
      <c r="U109" s="65"/>
    </row>
    <row r="110" spans="1:21">
      <c r="A110" s="25"/>
      <c r="B110" s="26"/>
      <c r="C110" s="25"/>
      <c r="D110" s="25"/>
      <c r="E110" s="27"/>
      <c r="F110" s="27"/>
      <c r="G110" s="25"/>
      <c r="H110" s="26"/>
      <c r="I110" s="26"/>
      <c r="J110" s="26"/>
      <c r="K110" s="26"/>
      <c r="L110" s="25"/>
      <c r="M110" s="27"/>
      <c r="N110" s="27"/>
      <c r="O110" s="276"/>
      <c r="P110" s="26"/>
    </row>
    <row r="111" spans="1:21" s="79" customFormat="1">
      <c r="A111" s="77"/>
      <c r="B111" s="77"/>
      <c r="C111" s="77" t="s">
        <v>399</v>
      </c>
      <c r="D111" s="77" t="s">
        <v>400</v>
      </c>
      <c r="E111" s="78"/>
      <c r="F111" s="78"/>
      <c r="G111" s="77"/>
      <c r="H111" s="77"/>
      <c r="I111" s="77"/>
      <c r="J111" s="77"/>
      <c r="K111" s="77"/>
      <c r="L111" s="77"/>
      <c r="M111" s="78"/>
      <c r="N111" s="78"/>
      <c r="O111" s="277"/>
      <c r="P111" s="77"/>
      <c r="Q111" s="77"/>
      <c r="R111" s="77"/>
      <c r="S111" s="77"/>
      <c r="T111" s="77"/>
      <c r="U111" s="77"/>
    </row>
    <row r="112" spans="1:21" s="79" customFormat="1">
      <c r="A112" s="77"/>
      <c r="B112" s="77"/>
      <c r="C112" s="77"/>
      <c r="D112" s="77" t="s">
        <v>401</v>
      </c>
      <c r="E112" s="78"/>
      <c r="F112" s="78"/>
      <c r="G112" s="77"/>
      <c r="H112" s="77"/>
      <c r="I112" s="77"/>
      <c r="J112" s="77"/>
      <c r="K112" s="77"/>
      <c r="L112" s="77"/>
      <c r="M112" s="78"/>
      <c r="N112" s="78"/>
      <c r="O112" s="277"/>
      <c r="P112" s="77"/>
      <c r="Q112" s="77"/>
      <c r="R112" s="77"/>
      <c r="S112" s="77"/>
      <c r="T112" s="77"/>
      <c r="U112" s="77"/>
    </row>
    <row r="113" spans="1:21" s="79" customFormat="1">
      <c r="A113" s="77"/>
      <c r="B113" s="77"/>
      <c r="C113" s="77"/>
      <c r="D113" s="77" t="s">
        <v>402</v>
      </c>
      <c r="E113" s="78"/>
      <c r="F113" s="78"/>
      <c r="G113" s="77"/>
      <c r="H113" s="77"/>
      <c r="I113" s="77"/>
      <c r="J113" s="77"/>
      <c r="K113" s="77"/>
      <c r="L113" s="77"/>
      <c r="M113" s="78"/>
      <c r="N113" s="78"/>
      <c r="O113" s="277"/>
      <c r="P113" s="77"/>
      <c r="Q113" s="77"/>
      <c r="R113" s="77"/>
      <c r="S113" s="77"/>
      <c r="T113" s="77"/>
      <c r="U113" s="77"/>
    </row>
    <row r="114" spans="1:21" s="79" customFormat="1">
      <c r="A114" s="77"/>
      <c r="B114" s="77"/>
      <c r="C114" s="77"/>
      <c r="D114" s="77" t="s">
        <v>403</v>
      </c>
      <c r="E114" s="78"/>
      <c r="F114" s="78"/>
      <c r="G114" s="77"/>
      <c r="H114" s="77"/>
      <c r="I114" s="77"/>
      <c r="J114" s="77"/>
      <c r="K114" s="77"/>
      <c r="L114" s="77"/>
      <c r="M114" s="78"/>
      <c r="N114" s="78"/>
      <c r="O114" s="277"/>
      <c r="P114" s="77"/>
      <c r="Q114" s="77"/>
      <c r="R114" s="77"/>
      <c r="S114" s="77"/>
      <c r="T114" s="77"/>
      <c r="U114" s="77"/>
    </row>
    <row r="115" spans="1:21" s="79" customFormat="1">
      <c r="A115" s="77"/>
      <c r="B115" s="77"/>
      <c r="C115" s="77"/>
      <c r="D115" s="77" t="s">
        <v>404</v>
      </c>
      <c r="E115" s="78"/>
      <c r="F115" s="78"/>
      <c r="G115" s="77"/>
      <c r="H115" s="77"/>
      <c r="I115" s="77"/>
      <c r="J115" s="77"/>
      <c r="K115" s="77"/>
      <c r="L115" s="77"/>
      <c r="M115" s="78"/>
      <c r="N115" s="78"/>
      <c r="O115" s="277"/>
      <c r="P115" s="77"/>
      <c r="Q115" s="77"/>
      <c r="R115" s="77"/>
      <c r="S115" s="77"/>
      <c r="T115" s="77"/>
      <c r="U115" s="77"/>
    </row>
    <row r="116" spans="1:21" s="79" customFormat="1">
      <c r="A116" s="77"/>
      <c r="B116" s="77"/>
      <c r="C116" s="77"/>
      <c r="D116" s="77" t="s">
        <v>405</v>
      </c>
      <c r="E116" s="78"/>
      <c r="F116" s="78"/>
      <c r="G116" s="77"/>
      <c r="H116" s="77"/>
      <c r="I116" s="77"/>
      <c r="J116" s="77"/>
      <c r="K116" s="77"/>
      <c r="L116" s="77"/>
      <c r="M116" s="78"/>
      <c r="N116" s="78"/>
      <c r="O116" s="277"/>
      <c r="P116" s="77"/>
      <c r="Q116" s="77"/>
      <c r="R116" s="77"/>
      <c r="S116" s="77"/>
      <c r="T116" s="77"/>
      <c r="U116" s="77"/>
    </row>
    <row r="117" spans="1:21">
      <c r="A117" s="25"/>
      <c r="B117" s="26"/>
      <c r="C117" s="25"/>
      <c r="D117" s="25"/>
      <c r="E117" s="27"/>
      <c r="F117" s="27"/>
      <c r="G117" s="25"/>
      <c r="H117" s="26"/>
      <c r="I117" s="26"/>
      <c r="J117" s="26"/>
      <c r="K117" s="26"/>
      <c r="L117" s="25"/>
      <c r="M117" s="27"/>
      <c r="N117" s="27"/>
      <c r="O117" s="276"/>
      <c r="P117" s="26"/>
    </row>
    <row r="118" spans="1:21">
      <c r="A118" s="25"/>
      <c r="B118" s="26"/>
      <c r="C118" s="25"/>
      <c r="D118" s="25"/>
      <c r="E118" s="27"/>
      <c r="F118" s="27"/>
      <c r="G118" s="25"/>
      <c r="H118" s="26"/>
      <c r="I118" s="26"/>
      <c r="J118" s="26"/>
      <c r="K118" s="26"/>
      <c r="L118" s="25"/>
      <c r="M118" s="27"/>
      <c r="N118" s="27"/>
      <c r="O118" s="276"/>
      <c r="P118" s="26"/>
    </row>
    <row r="119" spans="1:21">
      <c r="A119" s="25"/>
      <c r="B119" s="26"/>
      <c r="C119" s="25"/>
      <c r="D119" s="25"/>
      <c r="E119" s="27"/>
      <c r="F119" s="27"/>
      <c r="G119" s="25"/>
      <c r="H119" s="26"/>
      <c r="I119" s="26"/>
      <c r="J119" s="26"/>
      <c r="K119" s="26"/>
      <c r="L119" s="25"/>
      <c r="M119" s="27"/>
      <c r="N119" s="27"/>
      <c r="O119" s="276"/>
      <c r="P119" s="26"/>
    </row>
    <row r="120" spans="1:21" s="39" customFormat="1">
      <c r="A120" s="278"/>
      <c r="B120" s="89" t="s">
        <v>397</v>
      </c>
      <c r="C120" s="159"/>
      <c r="D120" s="89"/>
      <c r="E120" s="88"/>
      <c r="F120" s="88"/>
      <c r="I120" s="88"/>
      <c r="J120" s="333"/>
      <c r="K120" s="333"/>
      <c r="L120" s="333"/>
      <c r="M120" s="279" t="s">
        <v>396</v>
      </c>
      <c r="T120" s="41"/>
    </row>
    <row r="121" spans="1:21" s="39" customFormat="1">
      <c r="A121" s="278"/>
      <c r="B121" s="89" t="s">
        <v>647</v>
      </c>
      <c r="C121" s="159"/>
      <c r="D121" s="89"/>
      <c r="E121" s="88"/>
      <c r="F121" s="88"/>
      <c r="I121" s="88"/>
      <c r="J121" s="333"/>
      <c r="K121" s="333"/>
      <c r="L121" s="333"/>
      <c r="M121" s="279" t="s">
        <v>75</v>
      </c>
      <c r="T121" s="41"/>
    </row>
    <row r="122" spans="1:21" s="39" customFormat="1">
      <c r="A122" s="43"/>
      <c r="B122" s="89" t="s">
        <v>649</v>
      </c>
      <c r="C122" s="41"/>
      <c r="D122" s="89"/>
      <c r="J122" s="333"/>
      <c r="K122" s="333"/>
      <c r="L122" s="333"/>
      <c r="M122" s="279" t="s">
        <v>74</v>
      </c>
      <c r="S122" s="43"/>
      <c r="T122" s="41"/>
    </row>
    <row r="123" spans="1:21" s="43" customFormat="1">
      <c r="B123" s="89" t="s">
        <v>648</v>
      </c>
      <c r="G123" s="280"/>
    </row>
    <row r="124" spans="1:21">
      <c r="A124" s="25"/>
      <c r="B124" s="26"/>
      <c r="C124" s="25"/>
      <c r="D124" s="25"/>
      <c r="E124" s="27"/>
      <c r="F124" s="27"/>
      <c r="G124" s="25"/>
      <c r="H124" s="25"/>
      <c r="I124" s="25"/>
      <c r="J124" s="25"/>
      <c r="K124" s="25"/>
      <c r="L124" s="25"/>
      <c r="M124" s="27"/>
      <c r="N124" s="27"/>
      <c r="O124" s="276"/>
      <c r="P124" s="26"/>
    </row>
    <row r="125" spans="1:21">
      <c r="A125" s="25"/>
      <c r="B125" s="26"/>
      <c r="C125" s="25"/>
      <c r="D125" s="25"/>
      <c r="E125" s="27"/>
      <c r="F125" s="27"/>
      <c r="G125" s="25"/>
      <c r="H125" s="25"/>
      <c r="I125" s="25"/>
      <c r="J125" s="25"/>
      <c r="K125" s="25"/>
      <c r="L125" s="25"/>
      <c r="M125" s="27"/>
      <c r="N125" s="27"/>
      <c r="O125" s="276"/>
      <c r="P125" s="26"/>
    </row>
    <row r="126" spans="1:21">
      <c r="A126" s="25"/>
      <c r="B126" s="26"/>
      <c r="C126" s="25"/>
      <c r="D126" s="25"/>
      <c r="E126" s="27"/>
      <c r="F126" s="27"/>
      <c r="G126" s="25"/>
      <c r="H126" s="25"/>
      <c r="I126" s="25"/>
      <c r="J126" s="25"/>
      <c r="K126" s="25"/>
      <c r="L126" s="25"/>
      <c r="M126" s="27"/>
      <c r="N126" s="27"/>
      <c r="O126" s="276"/>
      <c r="P126" s="26"/>
    </row>
    <row r="127" spans="1:21">
      <c r="A127" s="25"/>
      <c r="B127" s="26"/>
      <c r="C127" s="25"/>
      <c r="D127" s="25"/>
      <c r="E127" s="27"/>
      <c r="F127" s="27"/>
      <c r="G127" s="25"/>
      <c r="H127" s="25"/>
      <c r="I127" s="25"/>
      <c r="J127" s="25"/>
      <c r="K127" s="25"/>
      <c r="L127" s="25"/>
      <c r="M127" s="27"/>
      <c r="N127" s="27"/>
      <c r="O127" s="276"/>
      <c r="P127" s="26"/>
    </row>
    <row r="128" spans="1:21">
      <c r="A128" s="25"/>
      <c r="B128" s="26"/>
      <c r="C128" s="25"/>
      <c r="D128" s="25"/>
      <c r="E128" s="27"/>
      <c r="F128" s="27"/>
      <c r="G128" s="25"/>
      <c r="H128" s="25"/>
      <c r="I128" s="25"/>
      <c r="J128" s="25"/>
      <c r="K128" s="25"/>
      <c r="L128" s="25"/>
      <c r="M128" s="27"/>
      <c r="N128" s="27"/>
      <c r="O128" s="276"/>
      <c r="P128" s="26"/>
    </row>
    <row r="129" spans="1:16">
      <c r="A129" s="25"/>
      <c r="B129" s="26"/>
      <c r="C129" s="25"/>
      <c r="D129" s="25"/>
      <c r="E129" s="27"/>
      <c r="F129" s="27"/>
      <c r="G129" s="25"/>
      <c r="H129" s="25"/>
      <c r="I129" s="25"/>
      <c r="J129" s="25"/>
      <c r="K129" s="25"/>
      <c r="L129" s="25"/>
      <c r="M129" s="27"/>
      <c r="N129" s="27"/>
      <c r="O129" s="276"/>
      <c r="P129" s="26"/>
    </row>
    <row r="130" spans="1:16">
      <c r="A130" s="25"/>
      <c r="B130" s="26"/>
      <c r="C130" s="25"/>
      <c r="D130" s="25"/>
      <c r="E130" s="27"/>
      <c r="F130" s="27"/>
      <c r="G130" s="25"/>
      <c r="H130" s="25"/>
      <c r="I130" s="25"/>
      <c r="J130" s="25"/>
      <c r="K130" s="25"/>
      <c r="L130" s="25"/>
      <c r="M130" s="27"/>
      <c r="N130" s="27"/>
      <c r="O130" s="276"/>
      <c r="P130" s="26"/>
    </row>
    <row r="131" spans="1:16">
      <c r="A131" s="25"/>
      <c r="B131" s="26"/>
      <c r="C131" s="25"/>
      <c r="D131" s="25"/>
      <c r="E131" s="27"/>
      <c r="F131" s="27"/>
      <c r="G131" s="25"/>
      <c r="H131" s="25"/>
      <c r="I131" s="25"/>
      <c r="J131" s="25"/>
      <c r="K131" s="25"/>
      <c r="L131" s="25"/>
      <c r="M131" s="27"/>
      <c r="N131" s="27"/>
      <c r="O131" s="276"/>
      <c r="P131" s="26"/>
    </row>
    <row r="132" spans="1:16">
      <c r="A132" s="25"/>
      <c r="B132" s="26"/>
      <c r="C132" s="25"/>
      <c r="D132" s="25"/>
      <c r="E132" s="27"/>
      <c r="F132" s="27"/>
      <c r="G132" s="25"/>
      <c r="H132" s="25"/>
      <c r="I132" s="25"/>
      <c r="J132" s="25"/>
      <c r="K132" s="25"/>
      <c r="L132" s="25"/>
      <c r="M132" s="27"/>
      <c r="N132" s="27"/>
      <c r="O132" s="276"/>
      <c r="P132" s="26"/>
    </row>
    <row r="133" spans="1:16">
      <c r="A133" s="25"/>
      <c r="B133" s="26"/>
      <c r="C133" s="25"/>
      <c r="D133" s="25"/>
      <c r="E133" s="27"/>
      <c r="F133" s="27"/>
      <c r="G133" s="25"/>
      <c r="H133" s="25"/>
      <c r="I133" s="25"/>
      <c r="J133" s="25"/>
      <c r="K133" s="25"/>
      <c r="L133" s="25"/>
      <c r="M133" s="27"/>
      <c r="N133" s="27"/>
      <c r="O133" s="276"/>
      <c r="P133" s="26"/>
    </row>
    <row r="134" spans="1:16">
      <c r="A134" s="25"/>
      <c r="B134" s="26"/>
      <c r="C134" s="25"/>
      <c r="D134" s="25"/>
      <c r="E134" s="27"/>
      <c r="F134" s="27"/>
      <c r="G134" s="25"/>
      <c r="H134" s="25"/>
      <c r="I134" s="25"/>
      <c r="J134" s="25"/>
      <c r="K134" s="25"/>
      <c r="L134" s="25"/>
      <c r="M134" s="27"/>
      <c r="N134" s="27"/>
      <c r="O134" s="276"/>
      <c r="P134" s="26"/>
    </row>
    <row r="135" spans="1:16">
      <c r="A135" s="25"/>
      <c r="B135" s="26"/>
      <c r="C135" s="25"/>
      <c r="D135" s="25"/>
      <c r="E135" s="27"/>
      <c r="F135" s="27"/>
      <c r="G135" s="25"/>
      <c r="H135" s="25"/>
      <c r="I135" s="25"/>
      <c r="J135" s="25"/>
      <c r="K135" s="25"/>
      <c r="L135" s="25"/>
      <c r="M135" s="27"/>
      <c r="N135" s="27"/>
      <c r="O135" s="276"/>
      <c r="P135" s="26"/>
    </row>
    <row r="174" spans="3:3">
      <c r="C174" s="25"/>
    </row>
  </sheetData>
  <mergeCells count="20">
    <mergeCell ref="A6:A7"/>
    <mergeCell ref="B6:B7"/>
    <mergeCell ref="C6:C7"/>
    <mergeCell ref="D6:D7"/>
    <mergeCell ref="E6:E7"/>
    <mergeCell ref="N2:P2"/>
    <mergeCell ref="C3:L3"/>
    <mergeCell ref="N3:P3"/>
    <mergeCell ref="C4:L4"/>
    <mergeCell ref="N4:P4"/>
    <mergeCell ref="P6:P7"/>
    <mergeCell ref="J120:L120"/>
    <mergeCell ref="J121:L121"/>
    <mergeCell ref="J122:L122"/>
    <mergeCell ref="F6:F7"/>
    <mergeCell ref="G6:G7"/>
    <mergeCell ref="H6:L6"/>
    <mergeCell ref="M6:M7"/>
    <mergeCell ref="N6:N7"/>
    <mergeCell ref="O6:O7"/>
  </mergeCells>
  <pageMargins left="0.55118110236220474" right="0.15748031496062992" top="0.43307086614173229" bottom="0.43307086614173229" header="0.51181102362204722" footer="0.51181102362204722"/>
  <pageSetup paperSize="274" scale="85" orientation="landscape" r:id="rId1"/>
  <headerFooter alignWithMargins="0">
    <oddHeader>&amp;Rแผ่นที่  &amp;P</oddHeader>
  </headerFooter>
  <rowBreaks count="1" manualBreakCount="1">
    <brk id="98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309"/>
  <sheetViews>
    <sheetView view="pageBreakPreview" zoomScale="125" zoomScaleNormal="125" zoomScaleSheetLayoutView="125" workbookViewId="0">
      <selection activeCell="A2" sqref="A2"/>
    </sheetView>
  </sheetViews>
  <sheetFormatPr defaultRowHeight="18.75"/>
  <cols>
    <col min="1" max="1" width="10.85546875" style="84" customWidth="1"/>
    <col min="2" max="2" width="6.85546875" style="84" customWidth="1"/>
    <col min="3" max="3" width="53.85546875" style="34" customWidth="1"/>
    <col min="4" max="4" width="20.42578125" style="85" customWidth="1"/>
    <col min="5" max="5" width="12" style="30" customWidth="1"/>
    <col min="6" max="6" width="10.140625" style="30" customWidth="1"/>
    <col min="7" max="7" width="16.5703125" style="30" customWidth="1"/>
    <col min="8" max="16384" width="9.140625" style="3"/>
  </cols>
  <sheetData>
    <row r="1" spans="1:8" s="20" customFormat="1">
      <c r="A1" s="322" t="s">
        <v>235</v>
      </c>
      <c r="B1" s="322"/>
      <c r="C1" s="322"/>
      <c r="D1" s="322"/>
      <c r="E1" s="322"/>
      <c r="F1" s="322"/>
      <c r="G1" s="322"/>
      <c r="H1" s="322"/>
    </row>
    <row r="2" spans="1:8" s="20" customFormat="1">
      <c r="A2" s="82" t="s">
        <v>27</v>
      </c>
      <c r="B2" s="82"/>
      <c r="C2" s="82"/>
      <c r="D2" s="82"/>
      <c r="E2" s="82"/>
      <c r="F2" s="82"/>
      <c r="G2" s="82"/>
      <c r="H2" s="20" t="s">
        <v>232</v>
      </c>
    </row>
    <row r="3" spans="1:8" s="30" customFormat="1">
      <c r="A3" s="74" t="s">
        <v>233</v>
      </c>
      <c r="B3" s="74" t="s">
        <v>116</v>
      </c>
      <c r="C3" s="8" t="s">
        <v>117</v>
      </c>
      <c r="D3" s="83" t="s">
        <v>234</v>
      </c>
      <c r="E3" s="8" t="s">
        <v>119</v>
      </c>
      <c r="F3" s="8" t="s">
        <v>129</v>
      </c>
      <c r="G3" s="8" t="s">
        <v>118</v>
      </c>
      <c r="H3" s="8" t="s">
        <v>91</v>
      </c>
    </row>
    <row r="4" spans="1:8" ht="37.5">
      <c r="A4" s="74">
        <v>2557</v>
      </c>
      <c r="B4" s="74">
        <v>1</v>
      </c>
      <c r="C4" s="80" t="s">
        <v>239</v>
      </c>
      <c r="D4" s="83">
        <v>600000</v>
      </c>
      <c r="E4" s="8" t="s">
        <v>153</v>
      </c>
      <c r="F4" s="8" t="s">
        <v>105</v>
      </c>
      <c r="G4" s="8" t="s">
        <v>237</v>
      </c>
      <c r="H4" s="19"/>
    </row>
    <row r="5" spans="1:8" ht="37.5">
      <c r="A5" s="74"/>
      <c r="B5" s="74">
        <v>2</v>
      </c>
      <c r="C5" s="80" t="s">
        <v>236</v>
      </c>
      <c r="D5" s="83">
        <v>300000</v>
      </c>
      <c r="E5" s="8" t="s">
        <v>85</v>
      </c>
      <c r="F5" s="8" t="s">
        <v>105</v>
      </c>
      <c r="G5" s="8" t="s">
        <v>237</v>
      </c>
      <c r="H5" s="19"/>
    </row>
    <row r="6" spans="1:8" ht="37.5">
      <c r="A6" s="74"/>
      <c r="B6" s="74">
        <v>3</v>
      </c>
      <c r="C6" s="80" t="s">
        <v>23</v>
      </c>
      <c r="D6" s="83">
        <v>700000</v>
      </c>
      <c r="E6" s="8" t="s">
        <v>85</v>
      </c>
      <c r="F6" s="8" t="s">
        <v>105</v>
      </c>
      <c r="G6" s="8" t="s">
        <v>168</v>
      </c>
      <c r="H6" s="19"/>
    </row>
    <row r="7" spans="1:8" ht="37.5">
      <c r="A7" s="74"/>
      <c r="B7" s="74">
        <v>4</v>
      </c>
      <c r="C7" s="80" t="s">
        <v>242</v>
      </c>
      <c r="D7" s="83">
        <v>100000</v>
      </c>
      <c r="E7" s="8" t="s">
        <v>85</v>
      </c>
      <c r="F7" s="8" t="s">
        <v>93</v>
      </c>
      <c r="G7" s="8" t="s">
        <v>168</v>
      </c>
      <c r="H7" s="19"/>
    </row>
    <row r="8" spans="1:8">
      <c r="A8" s="74"/>
      <c r="B8" s="74">
        <v>5</v>
      </c>
      <c r="C8" s="80" t="s">
        <v>238</v>
      </c>
      <c r="D8" s="83">
        <v>100000</v>
      </c>
      <c r="E8" s="8" t="s">
        <v>85</v>
      </c>
      <c r="F8" s="8" t="s">
        <v>93</v>
      </c>
      <c r="G8" s="8" t="s">
        <v>168</v>
      </c>
      <c r="H8" s="19"/>
    </row>
    <row r="9" spans="1:8">
      <c r="A9" s="74"/>
      <c r="B9" s="74">
        <v>6</v>
      </c>
      <c r="C9" s="80" t="s">
        <v>243</v>
      </c>
      <c r="D9" s="83">
        <v>50000</v>
      </c>
      <c r="E9" s="8" t="s">
        <v>85</v>
      </c>
      <c r="F9" s="8" t="s">
        <v>93</v>
      </c>
      <c r="G9" s="8" t="s">
        <v>168</v>
      </c>
      <c r="H9" s="19"/>
    </row>
    <row r="10" spans="1:8" ht="37.5">
      <c r="A10" s="74"/>
      <c r="B10" s="74">
        <v>7</v>
      </c>
      <c r="C10" s="80" t="s">
        <v>244</v>
      </c>
      <c r="D10" s="83">
        <v>200000</v>
      </c>
      <c r="E10" s="8" t="s">
        <v>85</v>
      </c>
      <c r="F10" s="8" t="s">
        <v>105</v>
      </c>
      <c r="G10" s="8" t="s">
        <v>168</v>
      </c>
      <c r="H10" s="19"/>
    </row>
    <row r="11" spans="1:8" ht="37.5">
      <c r="A11" s="74"/>
      <c r="B11" s="74">
        <v>8</v>
      </c>
      <c r="C11" s="80" t="s">
        <v>240</v>
      </c>
      <c r="D11" s="83">
        <v>300000</v>
      </c>
      <c r="E11" s="8" t="s">
        <v>85</v>
      </c>
      <c r="F11" s="8" t="s">
        <v>105</v>
      </c>
      <c r="G11" s="8" t="s">
        <v>168</v>
      </c>
      <c r="H11" s="19"/>
    </row>
    <row r="12" spans="1:8">
      <c r="A12" s="74"/>
      <c r="B12" s="74">
        <v>9</v>
      </c>
      <c r="C12" s="80" t="s">
        <v>241</v>
      </c>
      <c r="D12" s="83">
        <v>100000</v>
      </c>
      <c r="E12" s="8" t="s">
        <v>85</v>
      </c>
      <c r="F12" s="8" t="s">
        <v>93</v>
      </c>
      <c r="G12" s="8" t="s">
        <v>168</v>
      </c>
      <c r="H12" s="19"/>
    </row>
    <row r="13" spans="1:8">
      <c r="A13" s="74"/>
      <c r="B13" s="74">
        <v>10</v>
      </c>
      <c r="C13" s="80" t="s">
        <v>247</v>
      </c>
      <c r="D13" s="83">
        <v>100000</v>
      </c>
      <c r="E13" s="8" t="s">
        <v>85</v>
      </c>
      <c r="F13" s="8" t="s">
        <v>93</v>
      </c>
      <c r="G13" s="8" t="s">
        <v>168</v>
      </c>
      <c r="H13" s="19"/>
    </row>
    <row r="14" spans="1:8">
      <c r="A14" s="74"/>
      <c r="B14" s="74">
        <v>11</v>
      </c>
      <c r="C14" s="80" t="s">
        <v>246</v>
      </c>
      <c r="D14" s="83">
        <v>50000</v>
      </c>
      <c r="E14" s="8" t="s">
        <v>85</v>
      </c>
      <c r="F14" s="8" t="s">
        <v>93</v>
      </c>
      <c r="G14" s="8" t="s">
        <v>168</v>
      </c>
      <c r="H14" s="19"/>
    </row>
    <row r="15" spans="1:8">
      <c r="A15" s="74"/>
      <c r="B15" s="74">
        <v>12</v>
      </c>
      <c r="C15" s="80" t="s">
        <v>245</v>
      </c>
      <c r="D15" s="83">
        <v>100000</v>
      </c>
      <c r="E15" s="8" t="s">
        <v>85</v>
      </c>
      <c r="F15" s="8" t="s">
        <v>93</v>
      </c>
      <c r="G15" s="8" t="s">
        <v>168</v>
      </c>
      <c r="H15" s="19"/>
    </row>
    <row r="16" spans="1:8">
      <c r="A16" s="74"/>
      <c r="B16" s="74">
        <v>13</v>
      </c>
      <c r="C16" s="80" t="s">
        <v>248</v>
      </c>
      <c r="D16" s="83">
        <v>50000</v>
      </c>
      <c r="E16" s="8" t="s">
        <v>85</v>
      </c>
      <c r="F16" s="8" t="s">
        <v>93</v>
      </c>
      <c r="G16" s="8" t="s">
        <v>168</v>
      </c>
      <c r="H16" s="19"/>
    </row>
    <row r="17" spans="1:8">
      <c r="A17" s="74"/>
      <c r="B17" s="74">
        <v>14</v>
      </c>
      <c r="C17" s="80" t="s">
        <v>249</v>
      </c>
      <c r="D17" s="83">
        <v>50000</v>
      </c>
      <c r="E17" s="8" t="s">
        <v>85</v>
      </c>
      <c r="F17" s="8" t="s">
        <v>93</v>
      </c>
      <c r="G17" s="8" t="s">
        <v>168</v>
      </c>
      <c r="H17" s="19"/>
    </row>
    <row r="18" spans="1:8" ht="37.5">
      <c r="A18" s="74"/>
      <c r="B18" s="74">
        <v>15</v>
      </c>
      <c r="C18" s="80" t="s">
        <v>250</v>
      </c>
      <c r="D18" s="83">
        <v>100000</v>
      </c>
      <c r="E18" s="8" t="s">
        <v>85</v>
      </c>
      <c r="F18" s="8" t="s">
        <v>93</v>
      </c>
      <c r="G18" s="8" t="s">
        <v>168</v>
      </c>
      <c r="H18" s="19"/>
    </row>
    <row r="19" spans="1:8" ht="37.5">
      <c r="A19" s="74"/>
      <c r="B19" s="74">
        <v>16</v>
      </c>
      <c r="C19" s="80" t="s">
        <v>255</v>
      </c>
      <c r="D19" s="83">
        <v>50000</v>
      </c>
      <c r="E19" s="8" t="s">
        <v>85</v>
      </c>
      <c r="F19" s="8" t="s">
        <v>93</v>
      </c>
      <c r="G19" s="8" t="s">
        <v>168</v>
      </c>
      <c r="H19" s="19"/>
    </row>
    <row r="20" spans="1:8">
      <c r="A20" s="74"/>
      <c r="B20" s="74">
        <v>17</v>
      </c>
      <c r="C20" s="80" t="s">
        <v>254</v>
      </c>
      <c r="D20" s="83">
        <v>100000</v>
      </c>
      <c r="E20" s="8" t="s">
        <v>85</v>
      </c>
      <c r="F20" s="8" t="s">
        <v>93</v>
      </c>
      <c r="G20" s="8" t="s">
        <v>168</v>
      </c>
      <c r="H20" s="19"/>
    </row>
    <row r="21" spans="1:8" ht="37.5">
      <c r="A21" s="74"/>
      <c r="B21" s="74">
        <v>18</v>
      </c>
      <c r="C21" s="80" t="s">
        <v>253</v>
      </c>
      <c r="D21" s="83">
        <v>50000</v>
      </c>
      <c r="E21" s="8" t="s">
        <v>85</v>
      </c>
      <c r="F21" s="8" t="s">
        <v>93</v>
      </c>
      <c r="G21" s="8" t="s">
        <v>168</v>
      </c>
      <c r="H21" s="19"/>
    </row>
    <row r="22" spans="1:8">
      <c r="A22" s="74"/>
      <c r="B22" s="74">
        <v>19</v>
      </c>
      <c r="C22" s="80" t="s">
        <v>252</v>
      </c>
      <c r="D22" s="83">
        <v>50000</v>
      </c>
      <c r="E22" s="8" t="s">
        <v>85</v>
      </c>
      <c r="F22" s="8" t="s">
        <v>93</v>
      </c>
      <c r="G22" s="8" t="s">
        <v>168</v>
      </c>
      <c r="H22" s="19"/>
    </row>
    <row r="23" spans="1:8" ht="37.5">
      <c r="A23" s="74"/>
      <c r="B23" s="74">
        <v>20</v>
      </c>
      <c r="C23" s="80" t="s">
        <v>24</v>
      </c>
      <c r="D23" s="83">
        <v>100000</v>
      </c>
      <c r="E23" s="8" t="s">
        <v>85</v>
      </c>
      <c r="F23" s="8" t="s">
        <v>93</v>
      </c>
      <c r="G23" s="8" t="s">
        <v>168</v>
      </c>
      <c r="H23" s="19"/>
    </row>
    <row r="24" spans="1:8" ht="37.5">
      <c r="A24" s="74"/>
      <c r="B24" s="74">
        <v>21</v>
      </c>
      <c r="C24" s="80" t="s">
        <v>25</v>
      </c>
      <c r="D24" s="83">
        <v>10000</v>
      </c>
      <c r="E24" s="8" t="s">
        <v>85</v>
      </c>
      <c r="F24" s="8" t="s">
        <v>93</v>
      </c>
      <c r="G24" s="8" t="s">
        <v>168</v>
      </c>
      <c r="H24" s="19"/>
    </row>
    <row r="25" spans="1:8" ht="37.5">
      <c r="A25" s="74"/>
      <c r="B25" s="74">
        <v>22</v>
      </c>
      <c r="C25" s="80" t="s">
        <v>26</v>
      </c>
      <c r="D25" s="83">
        <v>50000</v>
      </c>
      <c r="E25" s="8" t="s">
        <v>85</v>
      </c>
      <c r="F25" s="8" t="s">
        <v>93</v>
      </c>
      <c r="G25" s="8" t="s">
        <v>168</v>
      </c>
      <c r="H25" s="19"/>
    </row>
    <row r="26" spans="1:8">
      <c r="A26" s="74"/>
      <c r="B26" s="74">
        <v>23</v>
      </c>
      <c r="C26" s="80" t="s">
        <v>251</v>
      </c>
      <c r="D26" s="83">
        <v>100000</v>
      </c>
      <c r="E26" s="8" t="s">
        <v>85</v>
      </c>
      <c r="F26" s="8" t="s">
        <v>93</v>
      </c>
      <c r="G26" s="8" t="s">
        <v>168</v>
      </c>
      <c r="H26" s="19"/>
    </row>
    <row r="27" spans="1:8" ht="37.5">
      <c r="A27" s="74"/>
      <c r="B27" s="74">
        <v>24</v>
      </c>
      <c r="C27" s="80" t="s">
        <v>256</v>
      </c>
      <c r="D27" s="83">
        <v>10000</v>
      </c>
      <c r="E27" s="8" t="s">
        <v>85</v>
      </c>
      <c r="F27" s="8" t="s">
        <v>93</v>
      </c>
      <c r="G27" s="8" t="s">
        <v>168</v>
      </c>
      <c r="H27" s="19"/>
    </row>
    <row r="28" spans="1:8" ht="37.5">
      <c r="A28" s="74"/>
      <c r="B28" s="74">
        <v>25</v>
      </c>
      <c r="C28" s="80" t="s">
        <v>257</v>
      </c>
      <c r="D28" s="83">
        <v>10000</v>
      </c>
      <c r="E28" s="8" t="s">
        <v>85</v>
      </c>
      <c r="F28" s="8" t="s">
        <v>93</v>
      </c>
      <c r="G28" s="8" t="s">
        <v>168</v>
      </c>
      <c r="H28" s="19"/>
    </row>
    <row r="29" spans="1:8">
      <c r="A29" s="74"/>
      <c r="B29" s="74">
        <v>26</v>
      </c>
      <c r="C29" s="80" t="s">
        <v>258</v>
      </c>
      <c r="D29" s="83">
        <v>50000</v>
      </c>
      <c r="E29" s="8" t="s">
        <v>85</v>
      </c>
      <c r="F29" s="8" t="s">
        <v>93</v>
      </c>
      <c r="G29" s="8" t="s">
        <v>168</v>
      </c>
      <c r="H29" s="19"/>
    </row>
    <row r="30" spans="1:8" ht="37.5">
      <c r="A30" s="74"/>
      <c r="B30" s="74">
        <v>27</v>
      </c>
      <c r="C30" s="80" t="s">
        <v>259</v>
      </c>
      <c r="D30" s="83">
        <v>10000</v>
      </c>
      <c r="E30" s="8" t="s">
        <v>85</v>
      </c>
      <c r="F30" s="8" t="s">
        <v>93</v>
      </c>
      <c r="G30" s="8" t="s">
        <v>168</v>
      </c>
      <c r="H30" s="19"/>
    </row>
    <row r="31" spans="1:8">
      <c r="A31" s="74"/>
      <c r="B31" s="74">
        <v>28</v>
      </c>
      <c r="C31" s="80" t="s">
        <v>260</v>
      </c>
      <c r="D31" s="83">
        <v>100000</v>
      </c>
      <c r="E31" s="8" t="s">
        <v>85</v>
      </c>
      <c r="F31" s="8" t="s">
        <v>93</v>
      </c>
      <c r="G31" s="8" t="s">
        <v>168</v>
      </c>
      <c r="H31" s="19"/>
    </row>
    <row r="32" spans="1:8">
      <c r="A32" s="74"/>
      <c r="B32" s="74">
        <v>29</v>
      </c>
      <c r="C32" s="80" t="s">
        <v>261</v>
      </c>
      <c r="D32" s="83">
        <v>100000</v>
      </c>
      <c r="E32" s="8" t="s">
        <v>85</v>
      </c>
      <c r="F32" s="8" t="s">
        <v>93</v>
      </c>
      <c r="G32" s="8" t="s">
        <v>168</v>
      </c>
      <c r="H32" s="19"/>
    </row>
    <row r="33" spans="1:8">
      <c r="A33" s="74"/>
      <c r="B33" s="74">
        <v>30</v>
      </c>
      <c r="C33" s="80" t="s">
        <v>262</v>
      </c>
      <c r="D33" s="83">
        <v>500000</v>
      </c>
      <c r="E33" s="8" t="s">
        <v>85</v>
      </c>
      <c r="F33" s="8" t="s">
        <v>105</v>
      </c>
      <c r="G33" s="8" t="s">
        <v>168</v>
      </c>
      <c r="H33" s="19"/>
    </row>
    <row r="34" spans="1:8">
      <c r="A34" s="74"/>
      <c r="B34" s="74">
        <v>31</v>
      </c>
      <c r="C34" s="80" t="s">
        <v>263</v>
      </c>
      <c r="D34" s="83">
        <v>100000</v>
      </c>
      <c r="E34" s="8" t="s">
        <v>85</v>
      </c>
      <c r="F34" s="8" t="s">
        <v>93</v>
      </c>
      <c r="G34" s="8" t="s">
        <v>168</v>
      </c>
      <c r="H34" s="19"/>
    </row>
    <row r="35" spans="1:8" ht="37.5">
      <c r="A35" s="74"/>
      <c r="B35" s="74">
        <v>32</v>
      </c>
      <c r="C35" s="80" t="s">
        <v>264</v>
      </c>
      <c r="D35" s="83">
        <v>100000</v>
      </c>
      <c r="E35" s="8" t="s">
        <v>85</v>
      </c>
      <c r="F35" s="8" t="s">
        <v>93</v>
      </c>
      <c r="G35" s="8" t="s">
        <v>168</v>
      </c>
      <c r="H35" s="19"/>
    </row>
    <row r="36" spans="1:8" ht="37.5">
      <c r="A36" s="74"/>
      <c r="B36" s="74">
        <v>33</v>
      </c>
      <c r="C36" s="80" t="s">
        <v>265</v>
      </c>
      <c r="D36" s="83">
        <v>50000</v>
      </c>
      <c r="E36" s="8" t="s">
        <v>85</v>
      </c>
      <c r="F36" s="8" t="s">
        <v>93</v>
      </c>
      <c r="G36" s="8" t="s">
        <v>78</v>
      </c>
      <c r="H36" s="19"/>
    </row>
    <row r="37" spans="1:8" ht="37.5">
      <c r="A37" s="74"/>
      <c r="B37" s="74">
        <v>34</v>
      </c>
      <c r="C37" s="80" t="s">
        <v>266</v>
      </c>
      <c r="D37" s="83">
        <v>50000</v>
      </c>
      <c r="E37" s="8" t="s">
        <v>85</v>
      </c>
      <c r="F37" s="8" t="s">
        <v>93</v>
      </c>
      <c r="G37" s="8" t="s">
        <v>78</v>
      </c>
      <c r="H37" s="19"/>
    </row>
    <row r="38" spans="1:8" ht="37.5">
      <c r="A38" s="74"/>
      <c r="B38" s="74">
        <v>35</v>
      </c>
      <c r="C38" s="80" t="s">
        <v>267</v>
      </c>
      <c r="D38" s="83">
        <v>100000</v>
      </c>
      <c r="E38" s="8" t="s">
        <v>85</v>
      </c>
      <c r="F38" s="8" t="s">
        <v>93</v>
      </c>
      <c r="G38" s="8" t="s">
        <v>78</v>
      </c>
      <c r="H38" s="19"/>
    </row>
    <row r="39" spans="1:8" ht="37.5">
      <c r="A39" s="74"/>
      <c r="B39" s="74">
        <v>36</v>
      </c>
      <c r="C39" s="80" t="s">
        <v>268</v>
      </c>
      <c r="D39" s="83">
        <v>100000</v>
      </c>
      <c r="E39" s="8" t="s">
        <v>85</v>
      </c>
      <c r="F39" s="8" t="s">
        <v>93</v>
      </c>
      <c r="G39" s="8" t="s">
        <v>78</v>
      </c>
      <c r="H39" s="19"/>
    </row>
    <row r="40" spans="1:8" ht="37.5">
      <c r="A40" s="74"/>
      <c r="B40" s="74">
        <v>37</v>
      </c>
      <c r="C40" s="80" t="s">
        <v>269</v>
      </c>
      <c r="D40" s="83">
        <v>100000</v>
      </c>
      <c r="E40" s="8" t="s">
        <v>85</v>
      </c>
      <c r="F40" s="8" t="s">
        <v>93</v>
      </c>
      <c r="G40" s="8" t="s">
        <v>78</v>
      </c>
      <c r="H40" s="19"/>
    </row>
    <row r="41" spans="1:8" ht="37.5">
      <c r="A41" s="74"/>
      <c r="B41" s="74">
        <v>38</v>
      </c>
      <c r="C41" s="80" t="s">
        <v>270</v>
      </c>
      <c r="D41" s="83">
        <v>100000</v>
      </c>
      <c r="E41" s="8" t="s">
        <v>85</v>
      </c>
      <c r="F41" s="8" t="s">
        <v>93</v>
      </c>
      <c r="G41" s="8" t="s">
        <v>78</v>
      </c>
      <c r="H41" s="19"/>
    </row>
    <row r="42" spans="1:8" ht="37.5">
      <c r="A42" s="74"/>
      <c r="B42" s="74">
        <v>39</v>
      </c>
      <c r="C42" s="80" t="s">
        <v>271</v>
      </c>
      <c r="D42" s="83">
        <v>20000</v>
      </c>
      <c r="E42" s="8" t="s">
        <v>85</v>
      </c>
      <c r="F42" s="8" t="s">
        <v>93</v>
      </c>
      <c r="G42" s="8" t="s">
        <v>78</v>
      </c>
      <c r="H42" s="19"/>
    </row>
    <row r="43" spans="1:8" ht="37.5">
      <c r="A43" s="74"/>
      <c r="B43" s="74">
        <v>40</v>
      </c>
      <c r="C43" s="80" t="s">
        <v>272</v>
      </c>
      <c r="D43" s="83">
        <v>20000</v>
      </c>
      <c r="E43" s="8" t="s">
        <v>85</v>
      </c>
      <c r="F43" s="8" t="s">
        <v>93</v>
      </c>
      <c r="G43" s="8" t="s">
        <v>78</v>
      </c>
      <c r="H43" s="19"/>
    </row>
    <row r="44" spans="1:8">
      <c r="A44" s="74"/>
      <c r="B44" s="74">
        <v>41</v>
      </c>
      <c r="C44" s="80" t="s">
        <v>275</v>
      </c>
      <c r="D44" s="83">
        <v>500000</v>
      </c>
      <c r="E44" s="8" t="s">
        <v>85</v>
      </c>
      <c r="F44" s="8" t="s">
        <v>105</v>
      </c>
      <c r="G44" s="8" t="s">
        <v>78</v>
      </c>
      <c r="H44" s="19"/>
    </row>
    <row r="45" spans="1:8">
      <c r="A45" s="74"/>
      <c r="B45" s="74">
        <v>42</v>
      </c>
      <c r="C45" s="80" t="s">
        <v>274</v>
      </c>
      <c r="D45" s="83">
        <v>50000</v>
      </c>
      <c r="E45" s="8" t="s">
        <v>85</v>
      </c>
      <c r="F45" s="8" t="s">
        <v>93</v>
      </c>
      <c r="G45" s="8" t="s">
        <v>78</v>
      </c>
      <c r="H45" s="19"/>
    </row>
    <row r="46" spans="1:8" ht="37.5">
      <c r="A46" s="74"/>
      <c r="B46" s="74">
        <v>43</v>
      </c>
      <c r="C46" s="80" t="s">
        <v>276</v>
      </c>
      <c r="D46" s="83">
        <v>20000</v>
      </c>
      <c r="E46" s="8" t="s">
        <v>85</v>
      </c>
      <c r="F46" s="8" t="s">
        <v>93</v>
      </c>
      <c r="G46" s="8" t="s">
        <v>78</v>
      </c>
      <c r="H46" s="19"/>
    </row>
    <row r="47" spans="1:8">
      <c r="A47" s="74"/>
      <c r="B47" s="74">
        <v>44</v>
      </c>
      <c r="C47" s="80" t="s">
        <v>277</v>
      </c>
      <c r="D47" s="83">
        <v>30000</v>
      </c>
      <c r="E47" s="8" t="s">
        <v>85</v>
      </c>
      <c r="F47" s="8" t="s">
        <v>93</v>
      </c>
      <c r="G47" s="8" t="s">
        <v>78</v>
      </c>
      <c r="H47" s="19"/>
    </row>
    <row r="48" spans="1:8">
      <c r="A48" s="74"/>
      <c r="B48" s="74">
        <v>45</v>
      </c>
      <c r="C48" s="80" t="s">
        <v>278</v>
      </c>
      <c r="D48" s="83">
        <v>100000</v>
      </c>
      <c r="E48" s="8" t="s">
        <v>85</v>
      </c>
      <c r="F48" s="8" t="s">
        <v>93</v>
      </c>
      <c r="G48" s="8" t="s">
        <v>78</v>
      </c>
      <c r="H48" s="19"/>
    </row>
    <row r="49" spans="1:8">
      <c r="A49" s="74"/>
      <c r="B49" s="74">
        <v>46</v>
      </c>
      <c r="C49" s="80" t="s">
        <v>279</v>
      </c>
      <c r="D49" s="83">
        <v>50000</v>
      </c>
      <c r="E49" s="8" t="s">
        <v>85</v>
      </c>
      <c r="F49" s="8" t="s">
        <v>93</v>
      </c>
      <c r="G49" s="8" t="s">
        <v>78</v>
      </c>
      <c r="H49" s="19"/>
    </row>
    <row r="50" spans="1:8" ht="37.5">
      <c r="A50" s="74"/>
      <c r="B50" s="74">
        <v>47</v>
      </c>
      <c r="C50" s="80" t="s">
        <v>280</v>
      </c>
      <c r="D50" s="83">
        <v>50000</v>
      </c>
      <c r="E50" s="8" t="s">
        <v>85</v>
      </c>
      <c r="F50" s="8" t="s">
        <v>93</v>
      </c>
      <c r="G50" s="8" t="s">
        <v>78</v>
      </c>
      <c r="H50" s="19"/>
    </row>
    <row r="51" spans="1:8">
      <c r="A51" s="74"/>
      <c r="B51" s="74">
        <v>48</v>
      </c>
      <c r="C51" s="80" t="s">
        <v>281</v>
      </c>
      <c r="D51" s="83">
        <v>100000</v>
      </c>
      <c r="E51" s="8" t="s">
        <v>85</v>
      </c>
      <c r="F51" s="8" t="s">
        <v>93</v>
      </c>
      <c r="G51" s="8" t="s">
        <v>78</v>
      </c>
      <c r="H51" s="19"/>
    </row>
    <row r="52" spans="1:8" ht="37.5">
      <c r="A52" s="74"/>
      <c r="B52" s="74">
        <v>49</v>
      </c>
      <c r="C52" s="80" t="s">
        <v>282</v>
      </c>
      <c r="D52" s="83">
        <v>50000</v>
      </c>
      <c r="E52" s="8" t="s">
        <v>85</v>
      </c>
      <c r="F52" s="8" t="s">
        <v>93</v>
      </c>
      <c r="G52" s="8" t="s">
        <v>78</v>
      </c>
      <c r="H52" s="19"/>
    </row>
    <row r="53" spans="1:8">
      <c r="A53" s="74"/>
      <c r="B53" s="74">
        <v>50</v>
      </c>
      <c r="C53" s="80" t="s">
        <v>283</v>
      </c>
      <c r="D53" s="83">
        <v>200000</v>
      </c>
      <c r="E53" s="8" t="s">
        <v>85</v>
      </c>
      <c r="F53" s="8" t="s">
        <v>93</v>
      </c>
      <c r="G53" s="8" t="s">
        <v>78</v>
      </c>
      <c r="H53" s="19"/>
    </row>
    <row r="54" spans="1:8" ht="37.5">
      <c r="A54" s="74"/>
      <c r="B54" s="74">
        <v>51</v>
      </c>
      <c r="C54" s="80" t="s">
        <v>284</v>
      </c>
      <c r="D54" s="83">
        <v>50000</v>
      </c>
      <c r="E54" s="8" t="s">
        <v>85</v>
      </c>
      <c r="F54" s="8" t="s">
        <v>93</v>
      </c>
      <c r="G54" s="8" t="s">
        <v>110</v>
      </c>
      <c r="H54" s="19"/>
    </row>
    <row r="55" spans="1:8" ht="37.5">
      <c r="A55" s="74"/>
      <c r="B55" s="74">
        <v>52</v>
      </c>
      <c r="C55" s="80" t="s">
        <v>285</v>
      </c>
      <c r="D55" s="83">
        <v>50000</v>
      </c>
      <c r="E55" s="8" t="s">
        <v>85</v>
      </c>
      <c r="F55" s="8" t="s">
        <v>93</v>
      </c>
      <c r="G55" s="8" t="s">
        <v>110</v>
      </c>
      <c r="H55" s="19"/>
    </row>
    <row r="56" spans="1:8">
      <c r="A56" s="74"/>
      <c r="B56" s="74">
        <v>53</v>
      </c>
      <c r="C56" s="80" t="s">
        <v>286</v>
      </c>
      <c r="D56" s="83">
        <v>25000</v>
      </c>
      <c r="E56" s="8" t="s">
        <v>85</v>
      </c>
      <c r="F56" s="8" t="s">
        <v>93</v>
      </c>
      <c r="G56" s="8" t="s">
        <v>110</v>
      </c>
      <c r="H56" s="19"/>
    </row>
    <row r="57" spans="1:8">
      <c r="A57" s="74"/>
      <c r="B57" s="74">
        <v>54</v>
      </c>
      <c r="C57" s="80" t="s">
        <v>287</v>
      </c>
      <c r="D57" s="83">
        <v>30000</v>
      </c>
      <c r="E57" s="8" t="s">
        <v>85</v>
      </c>
      <c r="F57" s="8" t="s">
        <v>93</v>
      </c>
      <c r="G57" s="8" t="s">
        <v>110</v>
      </c>
      <c r="H57" s="19"/>
    </row>
    <row r="58" spans="1:8" ht="37.5">
      <c r="A58" s="74"/>
      <c r="B58" s="74">
        <v>55</v>
      </c>
      <c r="C58" s="80" t="s">
        <v>288</v>
      </c>
      <c r="D58" s="83">
        <v>10000</v>
      </c>
      <c r="E58" s="8" t="s">
        <v>85</v>
      </c>
      <c r="F58" s="8" t="s">
        <v>93</v>
      </c>
      <c r="G58" s="8" t="s">
        <v>110</v>
      </c>
      <c r="H58" s="19"/>
    </row>
    <row r="59" spans="1:8" ht="56.25">
      <c r="A59" s="74"/>
      <c r="B59" s="74">
        <v>56</v>
      </c>
      <c r="C59" s="80" t="s">
        <v>289</v>
      </c>
      <c r="D59" s="83">
        <v>10000</v>
      </c>
      <c r="E59" s="8" t="s">
        <v>85</v>
      </c>
      <c r="F59" s="8" t="s">
        <v>93</v>
      </c>
      <c r="G59" s="8" t="s">
        <v>290</v>
      </c>
      <c r="H59" s="19"/>
    </row>
    <row r="60" spans="1:8" ht="37.5">
      <c r="A60" s="74"/>
      <c r="B60" s="74">
        <v>57</v>
      </c>
      <c r="C60" s="80" t="s">
        <v>291</v>
      </c>
      <c r="D60" s="83">
        <v>100000</v>
      </c>
      <c r="E60" s="8" t="s">
        <v>85</v>
      </c>
      <c r="F60" s="8" t="s">
        <v>93</v>
      </c>
      <c r="G60" s="8" t="s">
        <v>168</v>
      </c>
      <c r="H60" s="19"/>
    </row>
    <row r="61" spans="1:8">
      <c r="A61" s="74"/>
      <c r="B61" s="74">
        <v>58</v>
      </c>
      <c r="C61" s="80" t="s">
        <v>292</v>
      </c>
      <c r="D61" s="83">
        <v>50000</v>
      </c>
      <c r="E61" s="8" t="s">
        <v>85</v>
      </c>
      <c r="F61" s="8" t="s">
        <v>93</v>
      </c>
      <c r="G61" s="8" t="s">
        <v>293</v>
      </c>
      <c r="H61" s="19"/>
    </row>
    <row r="62" spans="1:8">
      <c r="A62" s="74"/>
      <c r="B62" s="74">
        <v>59</v>
      </c>
      <c r="C62" s="80" t="s">
        <v>294</v>
      </c>
      <c r="D62" s="83">
        <v>50000</v>
      </c>
      <c r="E62" s="8" t="s">
        <v>85</v>
      </c>
      <c r="F62" s="8" t="s">
        <v>93</v>
      </c>
      <c r="G62" s="8" t="s">
        <v>293</v>
      </c>
      <c r="H62" s="19"/>
    </row>
    <row r="63" spans="1:8">
      <c r="A63" s="74"/>
      <c r="B63" s="74">
        <v>60</v>
      </c>
      <c r="C63" s="80" t="s">
        <v>295</v>
      </c>
      <c r="D63" s="83">
        <v>50000</v>
      </c>
      <c r="E63" s="8" t="s">
        <v>85</v>
      </c>
      <c r="F63" s="8" t="s">
        <v>93</v>
      </c>
      <c r="G63" s="8" t="s">
        <v>293</v>
      </c>
      <c r="H63" s="19"/>
    </row>
    <row r="64" spans="1:8">
      <c r="A64" s="74"/>
      <c r="B64" s="74">
        <v>61</v>
      </c>
      <c r="C64" s="80" t="s">
        <v>296</v>
      </c>
      <c r="D64" s="83">
        <v>50000</v>
      </c>
      <c r="E64" s="8" t="s">
        <v>85</v>
      </c>
      <c r="F64" s="8" t="s">
        <v>93</v>
      </c>
      <c r="G64" s="8" t="s">
        <v>293</v>
      </c>
      <c r="H64" s="19"/>
    </row>
    <row r="65" spans="1:8">
      <c r="A65" s="74"/>
      <c r="B65" s="74">
        <v>62</v>
      </c>
      <c r="C65" s="80" t="s">
        <v>297</v>
      </c>
      <c r="D65" s="83">
        <v>50000</v>
      </c>
      <c r="E65" s="8" t="s">
        <v>85</v>
      </c>
      <c r="F65" s="8" t="s">
        <v>93</v>
      </c>
      <c r="G65" s="8" t="s">
        <v>293</v>
      </c>
      <c r="H65" s="19"/>
    </row>
    <row r="66" spans="1:8">
      <c r="A66" s="74"/>
      <c r="B66" s="74">
        <v>63</v>
      </c>
      <c r="C66" s="80" t="s">
        <v>298</v>
      </c>
      <c r="D66" s="83">
        <v>10000</v>
      </c>
      <c r="E66" s="8" t="s">
        <v>85</v>
      </c>
      <c r="F66" s="8" t="s">
        <v>93</v>
      </c>
      <c r="G66" s="8" t="s">
        <v>293</v>
      </c>
      <c r="H66" s="19"/>
    </row>
    <row r="67" spans="1:8" ht="37.5">
      <c r="A67" s="74"/>
      <c r="B67" s="74">
        <v>64</v>
      </c>
      <c r="C67" s="80" t="s">
        <v>299</v>
      </c>
      <c r="D67" s="83">
        <v>10000</v>
      </c>
      <c r="E67" s="8" t="s">
        <v>85</v>
      </c>
      <c r="F67" s="8" t="s">
        <v>93</v>
      </c>
      <c r="G67" s="8" t="s">
        <v>293</v>
      </c>
      <c r="H67" s="19"/>
    </row>
    <row r="68" spans="1:8" ht="37.5">
      <c r="A68" s="74"/>
      <c r="B68" s="74">
        <v>65</v>
      </c>
      <c r="C68" s="80" t="s">
        <v>300</v>
      </c>
      <c r="D68" s="83">
        <v>50000</v>
      </c>
      <c r="E68" s="8" t="s">
        <v>85</v>
      </c>
      <c r="F68" s="8" t="s">
        <v>93</v>
      </c>
      <c r="G68" s="8" t="s">
        <v>293</v>
      </c>
      <c r="H68" s="19"/>
    </row>
    <row r="69" spans="1:8" ht="37.5">
      <c r="A69" s="74"/>
      <c r="B69" s="74">
        <v>66</v>
      </c>
      <c r="C69" s="80" t="s">
        <v>301</v>
      </c>
      <c r="D69" s="83">
        <v>50000</v>
      </c>
      <c r="E69" s="8" t="s">
        <v>85</v>
      </c>
      <c r="F69" s="8" t="s">
        <v>93</v>
      </c>
      <c r="G69" s="8" t="s">
        <v>293</v>
      </c>
      <c r="H69" s="19"/>
    </row>
    <row r="70" spans="1:8" ht="37.5">
      <c r="A70" s="74"/>
      <c r="B70" s="74">
        <v>67</v>
      </c>
      <c r="C70" s="80" t="s">
        <v>302</v>
      </c>
      <c r="D70" s="83">
        <v>100000</v>
      </c>
      <c r="E70" s="8" t="s">
        <v>85</v>
      </c>
      <c r="F70" s="8" t="s">
        <v>93</v>
      </c>
      <c r="G70" s="8" t="s">
        <v>293</v>
      </c>
      <c r="H70" s="19"/>
    </row>
    <row r="71" spans="1:8" ht="37.5">
      <c r="A71" s="74"/>
      <c r="B71" s="74">
        <v>68</v>
      </c>
      <c r="C71" s="80" t="s">
        <v>303</v>
      </c>
      <c r="D71" s="83">
        <v>10000</v>
      </c>
      <c r="E71" s="8" t="s">
        <v>85</v>
      </c>
      <c r="F71" s="8" t="s">
        <v>93</v>
      </c>
      <c r="G71" s="8" t="s">
        <v>293</v>
      </c>
      <c r="H71" s="19"/>
    </row>
    <row r="72" spans="1:8" ht="37.5">
      <c r="A72" s="74"/>
      <c r="B72" s="74">
        <v>69</v>
      </c>
      <c r="C72" s="80" t="s">
        <v>304</v>
      </c>
      <c r="D72" s="83">
        <v>50000</v>
      </c>
      <c r="E72" s="8" t="s">
        <v>85</v>
      </c>
      <c r="F72" s="8" t="s">
        <v>93</v>
      </c>
      <c r="G72" s="8" t="s">
        <v>293</v>
      </c>
      <c r="H72" s="19"/>
    </row>
    <row r="73" spans="1:8" ht="37.5">
      <c r="A73" s="74"/>
      <c r="B73" s="74">
        <v>70</v>
      </c>
      <c r="C73" s="80" t="s">
        <v>305</v>
      </c>
      <c r="D73" s="83">
        <v>20000</v>
      </c>
      <c r="E73" s="8" t="s">
        <v>85</v>
      </c>
      <c r="F73" s="8" t="s">
        <v>93</v>
      </c>
      <c r="G73" s="8" t="s">
        <v>293</v>
      </c>
      <c r="H73" s="19"/>
    </row>
    <row r="74" spans="1:8" ht="37.5">
      <c r="A74" s="74"/>
      <c r="B74" s="74">
        <v>71</v>
      </c>
      <c r="C74" s="80" t="s">
        <v>306</v>
      </c>
      <c r="D74" s="83">
        <v>50000</v>
      </c>
      <c r="E74" s="8" t="s">
        <v>85</v>
      </c>
      <c r="F74" s="8" t="s">
        <v>93</v>
      </c>
      <c r="G74" s="8" t="s">
        <v>111</v>
      </c>
      <c r="H74" s="19"/>
    </row>
    <row r="75" spans="1:8">
      <c r="A75" s="74"/>
      <c r="B75" s="74">
        <v>72</v>
      </c>
      <c r="C75" s="80" t="s">
        <v>307</v>
      </c>
      <c r="D75" s="83">
        <v>10000</v>
      </c>
      <c r="E75" s="8" t="s">
        <v>85</v>
      </c>
      <c r="F75" s="8" t="s">
        <v>93</v>
      </c>
      <c r="G75" s="8" t="s">
        <v>111</v>
      </c>
      <c r="H75" s="19"/>
    </row>
    <row r="76" spans="1:8" ht="37.5">
      <c r="A76" s="74"/>
      <c r="B76" s="74">
        <v>73</v>
      </c>
      <c r="C76" s="80" t="s">
        <v>308</v>
      </c>
      <c r="D76" s="83">
        <v>50000</v>
      </c>
      <c r="E76" s="8" t="s">
        <v>85</v>
      </c>
      <c r="F76" s="8" t="s">
        <v>93</v>
      </c>
      <c r="G76" s="8" t="s">
        <v>78</v>
      </c>
      <c r="H76" s="19"/>
    </row>
    <row r="77" spans="1:8" ht="37.5">
      <c r="A77" s="74"/>
      <c r="B77" s="74">
        <v>74</v>
      </c>
      <c r="C77" s="80" t="s">
        <v>309</v>
      </c>
      <c r="D77" s="83">
        <v>50000</v>
      </c>
      <c r="E77" s="8" t="s">
        <v>85</v>
      </c>
      <c r="F77" s="8" t="s">
        <v>93</v>
      </c>
      <c r="G77" s="8" t="s">
        <v>111</v>
      </c>
      <c r="H77" s="19"/>
    </row>
    <row r="78" spans="1:8">
      <c r="A78" s="74"/>
      <c r="B78" s="74">
        <v>75</v>
      </c>
      <c r="C78" s="80" t="s">
        <v>312</v>
      </c>
      <c r="D78" s="83">
        <v>50000</v>
      </c>
      <c r="E78" s="8" t="s">
        <v>85</v>
      </c>
      <c r="F78" s="8" t="s">
        <v>93</v>
      </c>
      <c r="G78" s="8" t="s">
        <v>311</v>
      </c>
      <c r="H78" s="19"/>
    </row>
    <row r="79" spans="1:8">
      <c r="A79" s="74"/>
      <c r="B79" s="74">
        <v>76</v>
      </c>
      <c r="C79" s="80" t="s">
        <v>313</v>
      </c>
      <c r="D79" s="83">
        <v>10000</v>
      </c>
      <c r="E79" s="8" t="s">
        <v>85</v>
      </c>
      <c r="F79" s="8" t="s">
        <v>93</v>
      </c>
      <c r="G79" s="8" t="s">
        <v>311</v>
      </c>
      <c r="H79" s="19"/>
    </row>
    <row r="80" spans="1:8">
      <c r="A80" s="74"/>
      <c r="B80" s="74">
        <v>77</v>
      </c>
      <c r="C80" s="80" t="s">
        <v>314</v>
      </c>
      <c r="D80" s="83">
        <v>50000</v>
      </c>
      <c r="E80" s="8" t="s">
        <v>85</v>
      </c>
      <c r="F80" s="8" t="s">
        <v>93</v>
      </c>
      <c r="G80" s="8" t="s">
        <v>311</v>
      </c>
      <c r="H80" s="19"/>
    </row>
    <row r="81" spans="1:8">
      <c r="A81" s="74"/>
      <c r="B81" s="74">
        <v>78</v>
      </c>
      <c r="C81" s="80" t="s">
        <v>315</v>
      </c>
      <c r="D81" s="83">
        <v>10000</v>
      </c>
      <c r="E81" s="8" t="s">
        <v>85</v>
      </c>
      <c r="F81" s="8" t="s">
        <v>93</v>
      </c>
      <c r="G81" s="8" t="s">
        <v>311</v>
      </c>
      <c r="H81" s="19"/>
    </row>
    <row r="82" spans="1:8">
      <c r="A82" s="74"/>
      <c r="B82" s="74">
        <v>79</v>
      </c>
      <c r="C82" s="80" t="s">
        <v>316</v>
      </c>
      <c r="D82" s="83">
        <v>10000</v>
      </c>
      <c r="E82" s="8" t="s">
        <v>85</v>
      </c>
      <c r="F82" s="8" t="s">
        <v>93</v>
      </c>
      <c r="G82" s="8" t="s">
        <v>311</v>
      </c>
      <c r="H82" s="19"/>
    </row>
    <row r="83" spans="1:8">
      <c r="A83" s="74"/>
      <c r="B83" s="74">
        <v>80</v>
      </c>
      <c r="C83" s="80" t="s">
        <v>317</v>
      </c>
      <c r="D83" s="83">
        <v>10000</v>
      </c>
      <c r="E83" s="8" t="s">
        <v>85</v>
      </c>
      <c r="F83" s="8" t="s">
        <v>93</v>
      </c>
      <c r="G83" s="8" t="s">
        <v>311</v>
      </c>
      <c r="H83" s="19"/>
    </row>
    <row r="84" spans="1:8" ht="37.5">
      <c r="A84" s="74"/>
      <c r="B84" s="74">
        <v>81</v>
      </c>
      <c r="C84" s="80" t="s">
        <v>310</v>
      </c>
      <c r="D84" s="83">
        <v>10000</v>
      </c>
      <c r="E84" s="8" t="s">
        <v>85</v>
      </c>
      <c r="F84" s="8" t="s">
        <v>93</v>
      </c>
      <c r="G84" s="8" t="s">
        <v>110</v>
      </c>
      <c r="H84" s="19"/>
    </row>
    <row r="85" spans="1:8" ht="37.5">
      <c r="A85" s="74"/>
      <c r="B85" s="74">
        <v>82</v>
      </c>
      <c r="C85" s="80" t="s">
        <v>322</v>
      </c>
      <c r="D85" s="83">
        <v>10000</v>
      </c>
      <c r="E85" s="8" t="s">
        <v>85</v>
      </c>
      <c r="F85" s="8" t="s">
        <v>93</v>
      </c>
      <c r="G85" s="8" t="s">
        <v>110</v>
      </c>
      <c r="H85" s="19"/>
    </row>
    <row r="86" spans="1:8">
      <c r="A86" s="74"/>
      <c r="B86" s="74">
        <v>83</v>
      </c>
      <c r="C86" s="80" t="s">
        <v>323</v>
      </c>
      <c r="D86" s="83">
        <v>5000</v>
      </c>
      <c r="E86" s="8" t="s">
        <v>85</v>
      </c>
      <c r="F86" s="8" t="s">
        <v>93</v>
      </c>
      <c r="G86" s="8" t="s">
        <v>110</v>
      </c>
      <c r="H86" s="19"/>
    </row>
    <row r="87" spans="1:8">
      <c r="A87" s="74"/>
      <c r="B87" s="74">
        <v>84</v>
      </c>
      <c r="C87" s="80" t="s">
        <v>324</v>
      </c>
      <c r="D87" s="83">
        <v>30000</v>
      </c>
      <c r="E87" s="8" t="s">
        <v>85</v>
      </c>
      <c r="F87" s="8" t="s">
        <v>93</v>
      </c>
      <c r="G87" s="8" t="s">
        <v>325</v>
      </c>
      <c r="H87" s="19"/>
    </row>
    <row r="88" spans="1:8">
      <c r="A88" s="74"/>
      <c r="B88" s="74">
        <v>85</v>
      </c>
      <c r="C88" s="80" t="s">
        <v>326</v>
      </c>
      <c r="D88" s="83">
        <v>50000</v>
      </c>
      <c r="E88" s="8" t="s">
        <v>85</v>
      </c>
      <c r="F88" s="8" t="s">
        <v>93</v>
      </c>
      <c r="G88" s="8" t="s">
        <v>325</v>
      </c>
      <c r="H88" s="19"/>
    </row>
    <row r="89" spans="1:8" ht="37.5">
      <c r="A89" s="74"/>
      <c r="B89" s="74">
        <v>86</v>
      </c>
      <c r="C89" s="80" t="s">
        <v>327</v>
      </c>
      <c r="D89" s="83">
        <v>50000</v>
      </c>
      <c r="E89" s="8" t="s">
        <v>85</v>
      </c>
      <c r="F89" s="8" t="s">
        <v>93</v>
      </c>
      <c r="G89" s="8" t="s">
        <v>325</v>
      </c>
      <c r="H89" s="19"/>
    </row>
    <row r="90" spans="1:8" ht="37.5">
      <c r="A90" s="74"/>
      <c r="B90" s="74">
        <v>87</v>
      </c>
      <c r="C90" s="80" t="s">
        <v>328</v>
      </c>
      <c r="D90" s="83">
        <v>100000</v>
      </c>
      <c r="E90" s="8" t="s">
        <v>85</v>
      </c>
      <c r="F90" s="8" t="s">
        <v>93</v>
      </c>
      <c r="G90" s="8" t="s">
        <v>110</v>
      </c>
      <c r="H90" s="19"/>
    </row>
    <row r="91" spans="1:8">
      <c r="A91" s="74"/>
      <c r="B91" s="74">
        <v>88</v>
      </c>
      <c r="C91" s="80" t="s">
        <v>329</v>
      </c>
      <c r="D91" s="83">
        <v>5000</v>
      </c>
      <c r="E91" s="8" t="s">
        <v>85</v>
      </c>
      <c r="F91" s="8" t="s">
        <v>93</v>
      </c>
      <c r="G91" s="8" t="s">
        <v>110</v>
      </c>
      <c r="H91" s="19"/>
    </row>
    <row r="92" spans="1:8" ht="37.5">
      <c r="A92" s="74"/>
      <c r="B92" s="74">
        <v>89</v>
      </c>
      <c r="C92" s="80" t="s">
        <v>330</v>
      </c>
      <c r="D92" s="83">
        <v>30000</v>
      </c>
      <c r="E92" s="8" t="s">
        <v>85</v>
      </c>
      <c r="F92" s="8" t="s">
        <v>93</v>
      </c>
      <c r="G92" s="8" t="s">
        <v>110</v>
      </c>
      <c r="H92" s="19"/>
    </row>
    <row r="93" spans="1:8" ht="37.5">
      <c r="A93" s="74"/>
      <c r="B93" s="74">
        <v>90</v>
      </c>
      <c r="C93" s="80" t="s">
        <v>331</v>
      </c>
      <c r="D93" s="83">
        <v>30000</v>
      </c>
      <c r="E93" s="8" t="s">
        <v>85</v>
      </c>
      <c r="F93" s="8" t="s">
        <v>93</v>
      </c>
      <c r="G93" s="8" t="s">
        <v>110</v>
      </c>
      <c r="H93" s="19"/>
    </row>
    <row r="94" spans="1:8" ht="37.5">
      <c r="A94" s="74"/>
      <c r="B94" s="74">
        <v>91</v>
      </c>
      <c r="C94" s="80" t="s">
        <v>332</v>
      </c>
      <c r="D94" s="83">
        <v>140000</v>
      </c>
      <c r="E94" s="8" t="s">
        <v>85</v>
      </c>
      <c r="F94" s="8" t="s">
        <v>93</v>
      </c>
      <c r="G94" s="8" t="s">
        <v>110</v>
      </c>
      <c r="H94" s="19"/>
    </row>
    <row r="95" spans="1:8" ht="37.5">
      <c r="A95" s="74"/>
      <c r="B95" s="74">
        <v>92</v>
      </c>
      <c r="C95" s="80" t="s">
        <v>333</v>
      </c>
      <c r="D95" s="83">
        <v>98000</v>
      </c>
      <c r="E95" s="8" t="s">
        <v>85</v>
      </c>
      <c r="F95" s="8" t="s">
        <v>93</v>
      </c>
      <c r="G95" s="8" t="s">
        <v>110</v>
      </c>
      <c r="H95" s="19"/>
    </row>
    <row r="96" spans="1:8" ht="37.5">
      <c r="A96" s="74"/>
      <c r="B96" s="74">
        <v>93</v>
      </c>
      <c r="C96" s="80" t="s">
        <v>334</v>
      </c>
      <c r="D96" s="83">
        <v>100000</v>
      </c>
      <c r="E96" s="8" t="s">
        <v>85</v>
      </c>
      <c r="F96" s="8" t="s">
        <v>93</v>
      </c>
      <c r="G96" s="8" t="s">
        <v>110</v>
      </c>
      <c r="H96" s="19"/>
    </row>
    <row r="97" spans="1:8" ht="37.5">
      <c r="A97" s="74"/>
      <c r="B97" s="74">
        <v>94</v>
      </c>
      <c r="C97" s="80" t="s">
        <v>335</v>
      </c>
      <c r="D97" s="83">
        <v>98000</v>
      </c>
      <c r="E97" s="8" t="s">
        <v>85</v>
      </c>
      <c r="F97" s="8" t="s">
        <v>93</v>
      </c>
      <c r="G97" s="8" t="s">
        <v>110</v>
      </c>
      <c r="H97" s="19"/>
    </row>
    <row r="98" spans="1:8" ht="37.5">
      <c r="A98" s="74"/>
      <c r="B98" s="74">
        <v>95</v>
      </c>
      <c r="C98" s="80" t="s">
        <v>0</v>
      </c>
      <c r="D98" s="83">
        <v>300000</v>
      </c>
      <c r="E98" s="8" t="s">
        <v>85</v>
      </c>
      <c r="F98" s="8" t="s">
        <v>93</v>
      </c>
      <c r="G98" s="8" t="s">
        <v>110</v>
      </c>
      <c r="H98" s="19"/>
    </row>
    <row r="99" spans="1:8">
      <c r="A99" s="74"/>
      <c r="B99" s="74">
        <v>96</v>
      </c>
      <c r="C99" s="80" t="s">
        <v>1</v>
      </c>
      <c r="D99" s="83">
        <v>200000</v>
      </c>
      <c r="E99" s="8" t="s">
        <v>85</v>
      </c>
      <c r="F99" s="8" t="s">
        <v>93</v>
      </c>
      <c r="G99" s="8" t="s">
        <v>110</v>
      </c>
      <c r="H99" s="19"/>
    </row>
    <row r="100" spans="1:8" ht="37.5">
      <c r="A100" s="74"/>
      <c r="B100" s="74">
        <v>97</v>
      </c>
      <c r="C100" s="80" t="s">
        <v>2</v>
      </c>
      <c r="D100" s="83">
        <v>50000</v>
      </c>
      <c r="E100" s="8" t="s">
        <v>85</v>
      </c>
      <c r="F100" s="8" t="s">
        <v>93</v>
      </c>
      <c r="G100" s="8" t="s">
        <v>293</v>
      </c>
      <c r="H100" s="19"/>
    </row>
    <row r="101" spans="1:8" ht="37.5">
      <c r="A101" s="74"/>
      <c r="B101" s="74">
        <v>98</v>
      </c>
      <c r="C101" s="80" t="s">
        <v>3</v>
      </c>
      <c r="D101" s="83">
        <v>50000</v>
      </c>
      <c r="E101" s="8" t="s">
        <v>85</v>
      </c>
      <c r="F101" s="8" t="s">
        <v>93</v>
      </c>
      <c r="G101" s="8" t="s">
        <v>78</v>
      </c>
      <c r="H101" s="19"/>
    </row>
    <row r="102" spans="1:8" ht="37.5">
      <c r="A102" s="74"/>
      <c r="B102" s="74">
        <v>99</v>
      </c>
      <c r="C102" s="80" t="s">
        <v>4</v>
      </c>
      <c r="D102" s="83">
        <v>30000</v>
      </c>
      <c r="E102" s="8" t="s">
        <v>85</v>
      </c>
      <c r="F102" s="8" t="s">
        <v>93</v>
      </c>
      <c r="G102" s="8" t="s">
        <v>78</v>
      </c>
      <c r="H102" s="19"/>
    </row>
    <row r="103" spans="1:8" ht="37.5">
      <c r="A103" s="74"/>
      <c r="B103" s="74">
        <v>100</v>
      </c>
      <c r="C103" s="80" t="s">
        <v>5</v>
      </c>
      <c r="D103" s="83">
        <v>500000</v>
      </c>
      <c r="E103" s="8" t="s">
        <v>85</v>
      </c>
      <c r="F103" s="8" t="s">
        <v>93</v>
      </c>
      <c r="G103" s="8" t="s">
        <v>78</v>
      </c>
      <c r="H103" s="19"/>
    </row>
    <row r="104" spans="1:8" ht="37.5">
      <c r="A104" s="74"/>
      <c r="B104" s="74">
        <v>101</v>
      </c>
      <c r="C104" s="80" t="s">
        <v>6</v>
      </c>
      <c r="D104" s="83">
        <v>140000</v>
      </c>
      <c r="E104" s="8" t="s">
        <v>85</v>
      </c>
      <c r="F104" s="8" t="s">
        <v>93</v>
      </c>
      <c r="G104" s="8" t="s">
        <v>110</v>
      </c>
      <c r="H104" s="19"/>
    </row>
    <row r="105" spans="1:8">
      <c r="A105" s="74"/>
      <c r="B105" s="74">
        <v>102</v>
      </c>
      <c r="C105" s="80" t="s">
        <v>7</v>
      </c>
      <c r="D105" s="83">
        <v>50000</v>
      </c>
      <c r="E105" s="8" t="s">
        <v>85</v>
      </c>
      <c r="F105" s="8" t="s">
        <v>93</v>
      </c>
      <c r="G105" s="8" t="s">
        <v>78</v>
      </c>
      <c r="H105" s="19"/>
    </row>
    <row r="106" spans="1:8">
      <c r="A106" s="74"/>
      <c r="B106" s="74">
        <v>103</v>
      </c>
      <c r="C106" s="80" t="s">
        <v>8</v>
      </c>
      <c r="D106" s="83">
        <v>15000</v>
      </c>
      <c r="E106" s="8" t="s">
        <v>85</v>
      </c>
      <c r="F106" s="8" t="s">
        <v>93</v>
      </c>
      <c r="G106" s="8" t="s">
        <v>110</v>
      </c>
      <c r="H106" s="19"/>
    </row>
    <row r="107" spans="1:8">
      <c r="A107" s="74"/>
      <c r="B107" s="74">
        <v>104</v>
      </c>
      <c r="C107" s="80" t="s">
        <v>9</v>
      </c>
      <c r="D107" s="83">
        <v>50000</v>
      </c>
      <c r="E107" s="8" t="s">
        <v>85</v>
      </c>
      <c r="F107" s="8" t="s">
        <v>93</v>
      </c>
      <c r="G107" s="8" t="s">
        <v>110</v>
      </c>
      <c r="H107" s="19"/>
    </row>
    <row r="108" spans="1:8">
      <c r="A108" s="74"/>
      <c r="B108" s="74">
        <v>105</v>
      </c>
      <c r="C108" s="80" t="s">
        <v>10</v>
      </c>
      <c r="D108" s="83">
        <v>20000</v>
      </c>
      <c r="E108" s="8" t="s">
        <v>85</v>
      </c>
      <c r="F108" s="8" t="s">
        <v>93</v>
      </c>
      <c r="G108" s="8" t="s">
        <v>110</v>
      </c>
      <c r="H108" s="19"/>
    </row>
    <row r="109" spans="1:8" ht="37.5">
      <c r="A109" s="74"/>
      <c r="B109" s="74">
        <v>106</v>
      </c>
      <c r="C109" s="80" t="s">
        <v>11</v>
      </c>
      <c r="D109" s="83">
        <v>30000</v>
      </c>
      <c r="E109" s="8" t="s">
        <v>85</v>
      </c>
      <c r="F109" s="8" t="s">
        <v>93</v>
      </c>
      <c r="G109" s="8" t="s">
        <v>110</v>
      </c>
      <c r="H109" s="19"/>
    </row>
    <row r="110" spans="1:8" ht="37.5">
      <c r="A110" s="74"/>
      <c r="B110" s="74">
        <v>107</v>
      </c>
      <c r="C110" s="80" t="s">
        <v>12</v>
      </c>
      <c r="D110" s="83">
        <v>5000</v>
      </c>
      <c r="E110" s="8" t="s">
        <v>85</v>
      </c>
      <c r="F110" s="8" t="s">
        <v>93</v>
      </c>
      <c r="G110" s="8" t="s">
        <v>110</v>
      </c>
      <c r="H110" s="19"/>
    </row>
    <row r="111" spans="1:8">
      <c r="A111" s="74"/>
      <c r="B111" s="74">
        <v>108</v>
      </c>
      <c r="C111" s="80" t="s">
        <v>13</v>
      </c>
      <c r="D111" s="83">
        <v>100000</v>
      </c>
      <c r="E111" s="8" t="s">
        <v>85</v>
      </c>
      <c r="F111" s="8" t="s">
        <v>93</v>
      </c>
      <c r="G111" s="8" t="s">
        <v>325</v>
      </c>
      <c r="H111" s="19"/>
    </row>
    <row r="112" spans="1:8" ht="37.5">
      <c r="A112" s="74"/>
      <c r="B112" s="74">
        <v>109</v>
      </c>
      <c r="C112" s="80" t="s">
        <v>14</v>
      </c>
      <c r="D112" s="83">
        <v>10000</v>
      </c>
      <c r="E112" s="8" t="s">
        <v>85</v>
      </c>
      <c r="F112" s="8" t="s">
        <v>93</v>
      </c>
      <c r="G112" s="8" t="s">
        <v>110</v>
      </c>
      <c r="H112" s="19"/>
    </row>
    <row r="113" spans="1:8" ht="37.5">
      <c r="A113" s="74"/>
      <c r="B113" s="74">
        <v>110</v>
      </c>
      <c r="C113" s="80" t="s">
        <v>15</v>
      </c>
      <c r="D113" s="83">
        <v>30000</v>
      </c>
      <c r="E113" s="8" t="s">
        <v>85</v>
      </c>
      <c r="F113" s="8" t="s">
        <v>93</v>
      </c>
      <c r="G113" s="8" t="s">
        <v>168</v>
      </c>
      <c r="H113" s="19"/>
    </row>
    <row r="114" spans="1:8" ht="37.5">
      <c r="A114" s="74"/>
      <c r="B114" s="74">
        <v>111</v>
      </c>
      <c r="C114" s="80" t="s">
        <v>16</v>
      </c>
      <c r="D114" s="83">
        <v>40000</v>
      </c>
      <c r="E114" s="8" t="s">
        <v>85</v>
      </c>
      <c r="F114" s="8" t="s">
        <v>93</v>
      </c>
      <c r="G114" s="8" t="s">
        <v>110</v>
      </c>
      <c r="H114" s="19"/>
    </row>
    <row r="115" spans="1:8" ht="37.5">
      <c r="A115" s="74"/>
      <c r="B115" s="74">
        <v>112</v>
      </c>
      <c r="C115" s="80" t="s">
        <v>17</v>
      </c>
      <c r="D115" s="83">
        <v>400000</v>
      </c>
      <c r="E115" s="8" t="s">
        <v>85</v>
      </c>
      <c r="F115" s="8" t="s">
        <v>93</v>
      </c>
      <c r="G115" s="8" t="s">
        <v>110</v>
      </c>
      <c r="H115" s="19"/>
    </row>
    <row r="116" spans="1:8">
      <c r="A116" s="74"/>
      <c r="B116" s="74">
        <v>113</v>
      </c>
      <c r="C116" s="80" t="s">
        <v>18</v>
      </c>
      <c r="D116" s="83">
        <v>50000</v>
      </c>
      <c r="E116" s="8" t="s">
        <v>85</v>
      </c>
      <c r="F116" s="8" t="s">
        <v>93</v>
      </c>
      <c r="G116" s="8" t="s">
        <v>110</v>
      </c>
      <c r="H116" s="19"/>
    </row>
    <row r="117" spans="1:8" ht="37.5">
      <c r="A117" s="74"/>
      <c r="B117" s="74">
        <v>114</v>
      </c>
      <c r="C117" s="80" t="s">
        <v>19</v>
      </c>
      <c r="D117" s="83">
        <v>50000</v>
      </c>
      <c r="E117" s="8" t="s">
        <v>85</v>
      </c>
      <c r="F117" s="8" t="s">
        <v>93</v>
      </c>
      <c r="G117" s="8" t="s">
        <v>110</v>
      </c>
      <c r="H117" s="19"/>
    </row>
    <row r="118" spans="1:8" ht="37.5">
      <c r="A118" s="74"/>
      <c r="B118" s="74">
        <v>115</v>
      </c>
      <c r="C118" s="80" t="s">
        <v>20</v>
      </c>
      <c r="D118" s="83">
        <v>11800</v>
      </c>
      <c r="E118" s="8" t="s">
        <v>85</v>
      </c>
      <c r="F118" s="8" t="s">
        <v>93</v>
      </c>
      <c r="G118" s="8" t="s">
        <v>110</v>
      </c>
      <c r="H118" s="19"/>
    </row>
    <row r="119" spans="1:8">
      <c r="A119" s="74"/>
      <c r="B119" s="74">
        <v>116</v>
      </c>
      <c r="C119" s="80" t="s">
        <v>21</v>
      </c>
      <c r="D119" s="83">
        <v>10000</v>
      </c>
      <c r="E119" s="8" t="s">
        <v>85</v>
      </c>
      <c r="F119" s="8" t="s">
        <v>93</v>
      </c>
      <c r="G119" s="8" t="s">
        <v>110</v>
      </c>
      <c r="H119" s="19"/>
    </row>
    <row r="120" spans="1:8" ht="37.5">
      <c r="A120" s="74"/>
      <c r="B120" s="74">
        <v>117</v>
      </c>
      <c r="C120" s="80" t="s">
        <v>28</v>
      </c>
      <c r="D120" s="83">
        <v>5000</v>
      </c>
      <c r="E120" s="8" t="s">
        <v>85</v>
      </c>
      <c r="F120" s="8" t="s">
        <v>93</v>
      </c>
      <c r="G120" s="8" t="s">
        <v>110</v>
      </c>
      <c r="H120" s="19"/>
    </row>
    <row r="121" spans="1:8">
      <c r="A121" s="74"/>
      <c r="B121" s="74">
        <v>118</v>
      </c>
      <c r="C121" s="80" t="s">
        <v>22</v>
      </c>
      <c r="D121" s="83">
        <v>5000</v>
      </c>
      <c r="E121" s="8" t="s">
        <v>85</v>
      </c>
      <c r="F121" s="8" t="s">
        <v>93</v>
      </c>
      <c r="G121" s="8" t="s">
        <v>110</v>
      </c>
      <c r="H121" s="19"/>
    </row>
    <row r="122" spans="1:8" ht="37.5">
      <c r="A122" s="74"/>
      <c r="B122" s="74">
        <v>119</v>
      </c>
      <c r="C122" s="80" t="s">
        <v>29</v>
      </c>
      <c r="D122" s="83">
        <v>5000</v>
      </c>
      <c r="E122" s="8" t="s">
        <v>85</v>
      </c>
      <c r="F122" s="8" t="s">
        <v>93</v>
      </c>
      <c r="G122" s="8" t="s">
        <v>110</v>
      </c>
      <c r="H122" s="19"/>
    </row>
    <row r="123" spans="1:8">
      <c r="A123" s="74"/>
      <c r="B123" s="74">
        <v>120</v>
      </c>
      <c r="C123" s="80" t="s">
        <v>30</v>
      </c>
      <c r="D123" s="83">
        <v>5000</v>
      </c>
      <c r="E123" s="8" t="s">
        <v>85</v>
      </c>
      <c r="F123" s="8" t="s">
        <v>93</v>
      </c>
      <c r="G123" s="8" t="s">
        <v>110</v>
      </c>
      <c r="H123" s="19"/>
    </row>
    <row r="124" spans="1:8">
      <c r="A124" s="74"/>
      <c r="B124" s="74">
        <v>121</v>
      </c>
      <c r="C124" s="80" t="s">
        <v>31</v>
      </c>
      <c r="D124" s="83">
        <v>5000</v>
      </c>
      <c r="E124" s="8" t="s">
        <v>85</v>
      </c>
      <c r="F124" s="8" t="s">
        <v>93</v>
      </c>
      <c r="G124" s="8" t="s">
        <v>110</v>
      </c>
      <c r="H124" s="19"/>
    </row>
    <row r="125" spans="1:8">
      <c r="A125" s="74"/>
      <c r="B125" s="74">
        <v>122</v>
      </c>
      <c r="C125" s="80" t="s">
        <v>32</v>
      </c>
      <c r="D125" s="83">
        <v>5000</v>
      </c>
      <c r="E125" s="8" t="s">
        <v>85</v>
      </c>
      <c r="F125" s="8" t="s">
        <v>93</v>
      </c>
      <c r="G125" s="8" t="s">
        <v>110</v>
      </c>
      <c r="H125" s="19"/>
    </row>
    <row r="126" spans="1:8" ht="37.5">
      <c r="A126" s="74"/>
      <c r="B126" s="74">
        <v>123</v>
      </c>
      <c r="C126" s="80" t="s">
        <v>33</v>
      </c>
      <c r="D126" s="83">
        <v>5000</v>
      </c>
      <c r="E126" s="8" t="s">
        <v>85</v>
      </c>
      <c r="F126" s="8" t="s">
        <v>93</v>
      </c>
      <c r="G126" s="8" t="s">
        <v>110</v>
      </c>
      <c r="H126" s="19"/>
    </row>
    <row r="127" spans="1:8" ht="37.5">
      <c r="A127" s="74"/>
      <c r="B127" s="74">
        <v>124</v>
      </c>
      <c r="C127" s="80" t="s">
        <v>34</v>
      </c>
      <c r="D127" s="83">
        <v>5000</v>
      </c>
      <c r="E127" s="8" t="s">
        <v>85</v>
      </c>
      <c r="F127" s="8" t="s">
        <v>93</v>
      </c>
      <c r="G127" s="8" t="s">
        <v>110</v>
      </c>
      <c r="H127" s="19"/>
    </row>
    <row r="128" spans="1:8">
      <c r="A128" s="74"/>
      <c r="B128" s="74">
        <v>125</v>
      </c>
      <c r="C128" s="80" t="s">
        <v>35</v>
      </c>
      <c r="D128" s="83">
        <v>5000</v>
      </c>
      <c r="E128" s="8" t="s">
        <v>85</v>
      </c>
      <c r="F128" s="8" t="s">
        <v>93</v>
      </c>
      <c r="G128" s="8" t="s">
        <v>110</v>
      </c>
      <c r="H128" s="19"/>
    </row>
    <row r="129" spans="1:8">
      <c r="A129" s="74"/>
      <c r="B129" s="74">
        <v>126</v>
      </c>
      <c r="C129" s="80" t="s">
        <v>36</v>
      </c>
      <c r="D129" s="83">
        <v>5000</v>
      </c>
      <c r="E129" s="8" t="s">
        <v>85</v>
      </c>
      <c r="F129" s="8" t="s">
        <v>93</v>
      </c>
      <c r="G129" s="8" t="s">
        <v>110</v>
      </c>
      <c r="H129" s="19"/>
    </row>
    <row r="130" spans="1:8" ht="37.5">
      <c r="A130" s="74"/>
      <c r="B130" s="74">
        <v>127</v>
      </c>
      <c r="C130" s="80" t="s">
        <v>37</v>
      </c>
      <c r="D130" s="83">
        <v>5000</v>
      </c>
      <c r="E130" s="8" t="s">
        <v>85</v>
      </c>
      <c r="F130" s="8" t="s">
        <v>93</v>
      </c>
      <c r="G130" s="8" t="s">
        <v>110</v>
      </c>
      <c r="H130" s="19"/>
    </row>
    <row r="131" spans="1:8">
      <c r="A131" s="74"/>
      <c r="B131" s="74">
        <v>128</v>
      </c>
      <c r="C131" s="80" t="s">
        <v>38</v>
      </c>
      <c r="D131" s="83">
        <v>5000</v>
      </c>
      <c r="E131" s="8" t="s">
        <v>85</v>
      </c>
      <c r="F131" s="8" t="s">
        <v>93</v>
      </c>
      <c r="G131" s="8" t="s">
        <v>110</v>
      </c>
      <c r="H131" s="19"/>
    </row>
    <row r="132" spans="1:8">
      <c r="A132" s="74"/>
      <c r="B132" s="74">
        <v>129</v>
      </c>
      <c r="C132" s="80" t="s">
        <v>39</v>
      </c>
      <c r="D132" s="83">
        <v>5000</v>
      </c>
      <c r="E132" s="8" t="s">
        <v>85</v>
      </c>
      <c r="F132" s="8" t="s">
        <v>93</v>
      </c>
      <c r="G132" s="8" t="s">
        <v>110</v>
      </c>
      <c r="H132" s="19"/>
    </row>
    <row r="133" spans="1:8">
      <c r="A133" s="74"/>
      <c r="B133" s="74">
        <v>130</v>
      </c>
      <c r="C133" s="80" t="s">
        <v>40</v>
      </c>
      <c r="D133" s="83">
        <v>5000</v>
      </c>
      <c r="E133" s="8" t="s">
        <v>85</v>
      </c>
      <c r="F133" s="8" t="s">
        <v>93</v>
      </c>
      <c r="G133" s="8" t="s">
        <v>110</v>
      </c>
      <c r="H133" s="19"/>
    </row>
    <row r="134" spans="1:8">
      <c r="A134" s="74"/>
      <c r="B134" s="74">
        <v>131</v>
      </c>
      <c r="C134" s="80" t="s">
        <v>41</v>
      </c>
      <c r="D134" s="83">
        <v>50000</v>
      </c>
      <c r="E134" s="8" t="s">
        <v>85</v>
      </c>
      <c r="F134" s="8" t="s">
        <v>93</v>
      </c>
      <c r="G134" s="8" t="s">
        <v>110</v>
      </c>
      <c r="H134" s="19"/>
    </row>
    <row r="135" spans="1:8">
      <c r="A135" s="74"/>
      <c r="B135" s="74">
        <v>132</v>
      </c>
      <c r="C135" s="80" t="s">
        <v>42</v>
      </c>
      <c r="D135" s="83">
        <v>5000</v>
      </c>
      <c r="E135" s="8" t="s">
        <v>85</v>
      </c>
      <c r="F135" s="8" t="s">
        <v>93</v>
      </c>
      <c r="G135" s="8" t="s">
        <v>110</v>
      </c>
      <c r="H135" s="19"/>
    </row>
    <row r="136" spans="1:8">
      <c r="A136" s="74"/>
      <c r="B136" s="74">
        <v>133</v>
      </c>
      <c r="C136" s="80" t="s">
        <v>43</v>
      </c>
      <c r="D136" s="83">
        <v>10000</v>
      </c>
      <c r="E136" s="8" t="s">
        <v>85</v>
      </c>
      <c r="F136" s="8" t="s">
        <v>93</v>
      </c>
      <c r="G136" s="8" t="s">
        <v>110</v>
      </c>
      <c r="H136" s="19"/>
    </row>
    <row r="137" spans="1:8">
      <c r="A137" s="74"/>
      <c r="B137" s="74">
        <v>134</v>
      </c>
      <c r="C137" s="80" t="s">
        <v>44</v>
      </c>
      <c r="D137" s="83">
        <v>20000</v>
      </c>
      <c r="E137" s="8" t="s">
        <v>85</v>
      </c>
      <c r="F137" s="8" t="s">
        <v>93</v>
      </c>
      <c r="G137" s="8" t="s">
        <v>110</v>
      </c>
      <c r="H137" s="19"/>
    </row>
    <row r="138" spans="1:8" ht="37.5">
      <c r="A138" s="74"/>
      <c r="B138" s="74">
        <v>135</v>
      </c>
      <c r="C138" s="80" t="s">
        <v>45</v>
      </c>
      <c r="D138" s="83">
        <v>5000</v>
      </c>
      <c r="E138" s="8" t="s">
        <v>85</v>
      </c>
      <c r="F138" s="8" t="s">
        <v>93</v>
      </c>
      <c r="G138" s="8" t="s">
        <v>110</v>
      </c>
      <c r="H138" s="19"/>
    </row>
    <row r="139" spans="1:8">
      <c r="A139" s="74"/>
      <c r="B139" s="74">
        <v>136</v>
      </c>
      <c r="C139" s="80" t="s">
        <v>46</v>
      </c>
      <c r="D139" s="83">
        <v>100000</v>
      </c>
      <c r="E139" s="8" t="s">
        <v>85</v>
      </c>
      <c r="F139" s="8" t="s">
        <v>93</v>
      </c>
      <c r="G139" s="8" t="s">
        <v>110</v>
      </c>
      <c r="H139" s="19"/>
    </row>
    <row r="140" spans="1:8">
      <c r="A140" s="74"/>
      <c r="B140" s="74">
        <v>137</v>
      </c>
      <c r="C140" s="80" t="s">
        <v>47</v>
      </c>
      <c r="D140" s="83">
        <v>100000</v>
      </c>
      <c r="E140" s="8" t="s">
        <v>85</v>
      </c>
      <c r="F140" s="8" t="s">
        <v>93</v>
      </c>
      <c r="G140" s="8" t="s">
        <v>110</v>
      </c>
      <c r="H140" s="19"/>
    </row>
    <row r="141" spans="1:8">
      <c r="A141" s="74"/>
      <c r="B141" s="74">
        <v>138</v>
      </c>
      <c r="C141" s="80" t="s">
        <v>48</v>
      </c>
      <c r="D141" s="83">
        <v>3000000</v>
      </c>
      <c r="E141" s="8" t="s">
        <v>85</v>
      </c>
      <c r="F141" s="8" t="s">
        <v>105</v>
      </c>
      <c r="G141" s="8" t="s">
        <v>168</v>
      </c>
      <c r="H141" s="19"/>
    </row>
    <row r="142" spans="1:8" ht="37.5">
      <c r="A142" s="74"/>
      <c r="B142" s="74">
        <v>139</v>
      </c>
      <c r="C142" s="80" t="s">
        <v>49</v>
      </c>
      <c r="D142" s="83">
        <v>30000</v>
      </c>
      <c r="E142" s="8" t="s">
        <v>85</v>
      </c>
      <c r="F142" s="8" t="s">
        <v>93</v>
      </c>
      <c r="G142" s="8" t="s">
        <v>110</v>
      </c>
      <c r="H142" s="19"/>
    </row>
    <row r="143" spans="1:8">
      <c r="A143" s="74"/>
      <c r="B143" s="74">
        <v>140</v>
      </c>
      <c r="C143" s="80" t="s">
        <v>50</v>
      </c>
      <c r="D143" s="83">
        <v>50000</v>
      </c>
      <c r="E143" s="8" t="s">
        <v>85</v>
      </c>
      <c r="F143" s="8" t="s">
        <v>93</v>
      </c>
      <c r="G143" s="8" t="s">
        <v>110</v>
      </c>
      <c r="H143" s="19"/>
    </row>
    <row r="144" spans="1:8" ht="37.5">
      <c r="A144" s="74"/>
      <c r="B144" s="74">
        <v>141</v>
      </c>
      <c r="C144" s="80" t="s">
        <v>51</v>
      </c>
      <c r="D144" s="83">
        <v>30000</v>
      </c>
      <c r="E144" s="8" t="s">
        <v>85</v>
      </c>
      <c r="F144" s="8" t="s">
        <v>93</v>
      </c>
      <c r="G144" s="8" t="s">
        <v>110</v>
      </c>
      <c r="H144" s="19"/>
    </row>
    <row r="145" spans="1:8">
      <c r="A145" s="74"/>
      <c r="B145" s="74">
        <v>142</v>
      </c>
      <c r="C145" s="80" t="s">
        <v>52</v>
      </c>
      <c r="D145" s="83">
        <v>10000</v>
      </c>
      <c r="E145" s="8" t="s">
        <v>85</v>
      </c>
      <c r="F145" s="8" t="s">
        <v>93</v>
      </c>
      <c r="G145" s="8" t="s">
        <v>110</v>
      </c>
      <c r="H145" s="19"/>
    </row>
    <row r="146" spans="1:8">
      <c r="A146" s="74"/>
      <c r="B146" s="74">
        <v>143</v>
      </c>
      <c r="C146" s="80" t="s">
        <v>53</v>
      </c>
      <c r="D146" s="83">
        <v>200000</v>
      </c>
      <c r="E146" s="8" t="s">
        <v>85</v>
      </c>
      <c r="F146" s="8" t="s">
        <v>105</v>
      </c>
      <c r="G146" s="8" t="s">
        <v>168</v>
      </c>
      <c r="H146" s="19"/>
    </row>
    <row r="147" spans="1:8" ht="37.5">
      <c r="A147" s="74"/>
      <c r="B147" s="74">
        <v>144</v>
      </c>
      <c r="C147" s="80" t="s">
        <v>54</v>
      </c>
      <c r="D147" s="83">
        <v>50000</v>
      </c>
      <c r="E147" s="8" t="s">
        <v>85</v>
      </c>
      <c r="F147" s="8" t="s">
        <v>93</v>
      </c>
      <c r="G147" s="8" t="s">
        <v>110</v>
      </c>
      <c r="H147" s="19"/>
    </row>
    <row r="148" spans="1:8" ht="37.5">
      <c r="A148" s="74"/>
      <c r="B148" s="74">
        <v>145</v>
      </c>
      <c r="C148" s="80" t="s">
        <v>55</v>
      </c>
      <c r="D148" s="83">
        <v>10000</v>
      </c>
      <c r="E148" s="8" t="s">
        <v>85</v>
      </c>
      <c r="F148" s="8" t="s">
        <v>93</v>
      </c>
      <c r="G148" s="8" t="s">
        <v>110</v>
      </c>
      <c r="H148" s="19"/>
    </row>
    <row r="149" spans="1:8">
      <c r="A149" s="74"/>
      <c r="B149" s="74">
        <v>146</v>
      </c>
      <c r="C149" s="80" t="s">
        <v>56</v>
      </c>
      <c r="D149" s="83">
        <v>50000</v>
      </c>
      <c r="E149" s="8" t="s">
        <v>85</v>
      </c>
      <c r="F149" s="8" t="s">
        <v>105</v>
      </c>
      <c r="G149" s="8" t="s">
        <v>168</v>
      </c>
      <c r="H149" s="19"/>
    </row>
    <row r="150" spans="1:8">
      <c r="A150" s="74"/>
      <c r="B150" s="74">
        <v>147</v>
      </c>
      <c r="C150" s="80" t="s">
        <v>57</v>
      </c>
      <c r="D150" s="83">
        <v>50000</v>
      </c>
      <c r="E150" s="8" t="s">
        <v>85</v>
      </c>
      <c r="F150" s="8" t="s">
        <v>93</v>
      </c>
      <c r="G150" s="8" t="s">
        <v>168</v>
      </c>
      <c r="H150" s="19"/>
    </row>
    <row r="151" spans="1:8" ht="37.5">
      <c r="A151" s="74"/>
      <c r="B151" s="74">
        <v>148</v>
      </c>
      <c r="C151" s="80" t="s">
        <v>58</v>
      </c>
      <c r="D151" s="83">
        <v>5000</v>
      </c>
      <c r="E151" s="8" t="s">
        <v>85</v>
      </c>
      <c r="F151" s="8" t="s">
        <v>93</v>
      </c>
      <c r="G151" s="8" t="s">
        <v>110</v>
      </c>
      <c r="H151" s="19"/>
    </row>
    <row r="152" spans="1:8">
      <c r="A152" s="74"/>
      <c r="B152" s="74">
        <v>149</v>
      </c>
      <c r="C152" s="80" t="s">
        <v>59</v>
      </c>
      <c r="D152" s="83">
        <v>50000</v>
      </c>
      <c r="E152" s="8" t="s">
        <v>85</v>
      </c>
      <c r="F152" s="8" t="s">
        <v>93</v>
      </c>
      <c r="G152" s="8" t="s">
        <v>78</v>
      </c>
      <c r="H152" s="19"/>
    </row>
    <row r="153" spans="1:8" ht="37.5">
      <c r="A153" s="74"/>
      <c r="B153" s="74">
        <v>150</v>
      </c>
      <c r="C153" s="80" t="s">
        <v>60</v>
      </c>
      <c r="D153" s="83">
        <v>50000</v>
      </c>
      <c r="E153" s="8" t="s">
        <v>85</v>
      </c>
      <c r="F153" s="8" t="s">
        <v>93</v>
      </c>
      <c r="G153" s="8" t="s">
        <v>78</v>
      </c>
      <c r="H153" s="19"/>
    </row>
    <row r="154" spans="1:8" ht="37.5">
      <c r="A154" s="74"/>
      <c r="B154" s="74">
        <v>151</v>
      </c>
      <c r="C154" s="80" t="s">
        <v>61</v>
      </c>
      <c r="D154" s="83">
        <v>30000</v>
      </c>
      <c r="E154" s="8" t="s">
        <v>85</v>
      </c>
      <c r="F154" s="8" t="s">
        <v>93</v>
      </c>
      <c r="G154" s="8" t="s">
        <v>78</v>
      </c>
      <c r="H154" s="19"/>
    </row>
    <row r="155" spans="1:8" ht="37.5">
      <c r="A155" s="74"/>
      <c r="B155" s="74">
        <v>152</v>
      </c>
      <c r="C155" s="80" t="s">
        <v>62</v>
      </c>
      <c r="D155" s="83">
        <v>30000</v>
      </c>
      <c r="E155" s="8" t="s">
        <v>85</v>
      </c>
      <c r="F155" s="8" t="s">
        <v>93</v>
      </c>
      <c r="G155" s="8" t="s">
        <v>78</v>
      </c>
      <c r="H155" s="19"/>
    </row>
    <row r="156" spans="1:8">
      <c r="A156" s="74"/>
      <c r="B156" s="74">
        <v>153</v>
      </c>
      <c r="C156" s="80" t="s">
        <v>63</v>
      </c>
      <c r="D156" s="83">
        <v>100000</v>
      </c>
      <c r="E156" s="8" t="s">
        <v>85</v>
      </c>
      <c r="F156" s="8" t="s">
        <v>93</v>
      </c>
      <c r="G156" s="8" t="s">
        <v>78</v>
      </c>
      <c r="H156" s="19"/>
    </row>
    <row r="157" spans="1:8">
      <c r="A157" s="74"/>
      <c r="B157" s="74">
        <v>154</v>
      </c>
      <c r="C157" s="80" t="s">
        <v>64</v>
      </c>
      <c r="D157" s="83">
        <v>50000</v>
      </c>
      <c r="E157" s="8" t="s">
        <v>85</v>
      </c>
      <c r="F157" s="8" t="s">
        <v>93</v>
      </c>
      <c r="G157" s="8" t="s">
        <v>78</v>
      </c>
      <c r="H157" s="19"/>
    </row>
    <row r="158" spans="1:8">
      <c r="A158" s="74"/>
      <c r="B158" s="74">
        <v>155</v>
      </c>
      <c r="C158" s="80" t="s">
        <v>65</v>
      </c>
      <c r="D158" s="83">
        <v>50000</v>
      </c>
      <c r="E158" s="8" t="s">
        <v>85</v>
      </c>
      <c r="F158" s="8" t="s">
        <v>93</v>
      </c>
      <c r="G158" s="8" t="s">
        <v>78</v>
      </c>
      <c r="H158" s="19"/>
    </row>
    <row r="159" spans="1:8">
      <c r="A159" s="74"/>
      <c r="B159" s="74">
        <v>156</v>
      </c>
      <c r="C159" s="80" t="s">
        <v>66</v>
      </c>
      <c r="D159" s="83">
        <v>200000</v>
      </c>
      <c r="E159" s="8" t="s">
        <v>85</v>
      </c>
      <c r="F159" s="8" t="s">
        <v>93</v>
      </c>
      <c r="G159" s="8" t="s">
        <v>78</v>
      </c>
      <c r="H159" s="19"/>
    </row>
    <row r="160" spans="1:8">
      <c r="A160" s="74"/>
      <c r="B160" s="74">
        <v>157</v>
      </c>
      <c r="C160" s="80" t="s">
        <v>67</v>
      </c>
      <c r="D160" s="83">
        <v>10000</v>
      </c>
      <c r="E160" s="8" t="s">
        <v>85</v>
      </c>
      <c r="F160" s="8" t="s">
        <v>93</v>
      </c>
      <c r="G160" s="8" t="s">
        <v>78</v>
      </c>
      <c r="H160" s="19"/>
    </row>
    <row r="161" spans="1:8" ht="37.5">
      <c r="A161" s="74">
        <v>2558</v>
      </c>
      <c r="B161" s="74">
        <v>158</v>
      </c>
      <c r="C161" s="80" t="s">
        <v>23</v>
      </c>
      <c r="D161" s="83">
        <v>100000</v>
      </c>
      <c r="E161" s="8" t="s">
        <v>85</v>
      </c>
      <c r="F161" s="8" t="s">
        <v>93</v>
      </c>
      <c r="G161" s="8" t="s">
        <v>168</v>
      </c>
      <c r="H161" s="19"/>
    </row>
    <row r="162" spans="1:8">
      <c r="A162" s="74"/>
      <c r="B162" s="74">
        <v>159</v>
      </c>
      <c r="C162" s="80" t="s">
        <v>243</v>
      </c>
      <c r="D162" s="83">
        <v>50000</v>
      </c>
      <c r="E162" s="8" t="s">
        <v>85</v>
      </c>
      <c r="F162" s="8" t="s">
        <v>93</v>
      </c>
      <c r="G162" s="8" t="s">
        <v>168</v>
      </c>
      <c r="H162" s="19"/>
    </row>
    <row r="163" spans="1:8" ht="37.5">
      <c r="A163" s="74"/>
      <c r="B163" s="74">
        <v>160</v>
      </c>
      <c r="C163" s="80" t="s">
        <v>244</v>
      </c>
      <c r="D163" s="83">
        <v>100000</v>
      </c>
      <c r="E163" s="8" t="s">
        <v>85</v>
      </c>
      <c r="F163" s="8" t="s">
        <v>93</v>
      </c>
      <c r="G163" s="8" t="s">
        <v>168</v>
      </c>
      <c r="H163" s="19"/>
    </row>
    <row r="164" spans="1:8" ht="37.5">
      <c r="A164" s="74"/>
      <c r="B164" s="74">
        <v>161</v>
      </c>
      <c r="C164" s="80" t="s">
        <v>253</v>
      </c>
      <c r="D164" s="83">
        <v>10000</v>
      </c>
      <c r="E164" s="8" t="s">
        <v>85</v>
      </c>
      <c r="F164" s="8" t="s">
        <v>93</v>
      </c>
      <c r="G164" s="8" t="s">
        <v>168</v>
      </c>
      <c r="H164" s="19"/>
    </row>
    <row r="165" spans="1:8">
      <c r="A165" s="74"/>
      <c r="B165" s="74">
        <v>162</v>
      </c>
      <c r="C165" s="80" t="s">
        <v>252</v>
      </c>
      <c r="D165" s="83">
        <v>10000</v>
      </c>
      <c r="E165" s="8" t="s">
        <v>85</v>
      </c>
      <c r="F165" s="8" t="s">
        <v>93</v>
      </c>
      <c r="G165" s="8" t="s">
        <v>168</v>
      </c>
      <c r="H165" s="19"/>
    </row>
    <row r="166" spans="1:8" ht="37.5">
      <c r="A166" s="74"/>
      <c r="B166" s="74">
        <v>163</v>
      </c>
      <c r="C166" s="80" t="s">
        <v>256</v>
      </c>
      <c r="D166" s="83">
        <v>10000</v>
      </c>
      <c r="E166" s="8" t="s">
        <v>85</v>
      </c>
      <c r="F166" s="8" t="s">
        <v>93</v>
      </c>
      <c r="G166" s="8" t="s">
        <v>168</v>
      </c>
      <c r="H166" s="19"/>
    </row>
    <row r="167" spans="1:8" ht="37.5">
      <c r="A167" s="74"/>
      <c r="B167" s="74">
        <v>164</v>
      </c>
      <c r="C167" s="80" t="s">
        <v>257</v>
      </c>
      <c r="D167" s="83">
        <v>10000</v>
      </c>
      <c r="E167" s="8" t="s">
        <v>85</v>
      </c>
      <c r="F167" s="8" t="s">
        <v>93</v>
      </c>
      <c r="G167" s="8" t="s">
        <v>168</v>
      </c>
      <c r="H167" s="19"/>
    </row>
    <row r="168" spans="1:8">
      <c r="A168" s="74"/>
      <c r="B168" s="74">
        <v>165</v>
      </c>
      <c r="C168" s="80" t="s">
        <v>262</v>
      </c>
      <c r="D168" s="83">
        <v>500000</v>
      </c>
      <c r="E168" s="8" t="s">
        <v>85</v>
      </c>
      <c r="F168" s="8" t="s">
        <v>105</v>
      </c>
      <c r="G168" s="8" t="s">
        <v>168</v>
      </c>
      <c r="H168" s="19"/>
    </row>
    <row r="169" spans="1:8">
      <c r="A169" s="74"/>
      <c r="B169" s="74">
        <v>166</v>
      </c>
      <c r="C169" s="80" t="s">
        <v>263</v>
      </c>
      <c r="D169" s="83">
        <v>100000</v>
      </c>
      <c r="E169" s="8" t="s">
        <v>85</v>
      </c>
      <c r="F169" s="8" t="s">
        <v>93</v>
      </c>
      <c r="G169" s="8" t="s">
        <v>168</v>
      </c>
      <c r="H169" s="19"/>
    </row>
    <row r="170" spans="1:8" ht="37.5">
      <c r="A170" s="74"/>
      <c r="B170" s="74">
        <v>167</v>
      </c>
      <c r="C170" s="80" t="s">
        <v>265</v>
      </c>
      <c r="D170" s="83">
        <v>50000</v>
      </c>
      <c r="E170" s="8" t="s">
        <v>85</v>
      </c>
      <c r="F170" s="8" t="s">
        <v>93</v>
      </c>
      <c r="G170" s="8" t="s">
        <v>78</v>
      </c>
      <c r="H170" s="19"/>
    </row>
    <row r="171" spans="1:8" ht="37.5">
      <c r="A171" s="74"/>
      <c r="B171" s="74">
        <v>168</v>
      </c>
      <c r="C171" s="80" t="s">
        <v>266</v>
      </c>
      <c r="D171" s="83">
        <v>50000</v>
      </c>
      <c r="E171" s="8" t="s">
        <v>85</v>
      </c>
      <c r="F171" s="8" t="s">
        <v>93</v>
      </c>
      <c r="G171" s="8" t="s">
        <v>78</v>
      </c>
      <c r="H171" s="19"/>
    </row>
    <row r="172" spans="1:8" ht="37.5">
      <c r="A172" s="74"/>
      <c r="B172" s="74">
        <v>169</v>
      </c>
      <c r="C172" s="80" t="s">
        <v>267</v>
      </c>
      <c r="D172" s="83">
        <v>50000</v>
      </c>
      <c r="E172" s="8" t="s">
        <v>85</v>
      </c>
      <c r="F172" s="8" t="s">
        <v>93</v>
      </c>
      <c r="G172" s="8" t="s">
        <v>78</v>
      </c>
      <c r="H172" s="19"/>
    </row>
    <row r="173" spans="1:8" ht="37.5">
      <c r="A173" s="74"/>
      <c r="B173" s="74">
        <v>170</v>
      </c>
      <c r="C173" s="80" t="s">
        <v>268</v>
      </c>
      <c r="D173" s="83">
        <v>50000</v>
      </c>
      <c r="E173" s="8" t="s">
        <v>85</v>
      </c>
      <c r="F173" s="8" t="s">
        <v>93</v>
      </c>
      <c r="G173" s="8" t="s">
        <v>78</v>
      </c>
      <c r="H173" s="19"/>
    </row>
    <row r="174" spans="1:8" ht="37.5">
      <c r="A174" s="74"/>
      <c r="B174" s="74">
        <v>171</v>
      </c>
      <c r="C174" s="80" t="s">
        <v>269</v>
      </c>
      <c r="D174" s="83">
        <v>50000</v>
      </c>
      <c r="E174" s="8" t="s">
        <v>85</v>
      </c>
      <c r="F174" s="8" t="s">
        <v>93</v>
      </c>
      <c r="G174" s="8" t="s">
        <v>78</v>
      </c>
      <c r="H174" s="19"/>
    </row>
    <row r="175" spans="1:8" ht="37.5">
      <c r="A175" s="74"/>
      <c r="B175" s="74">
        <v>172</v>
      </c>
      <c r="C175" s="80" t="s">
        <v>270</v>
      </c>
      <c r="D175" s="83">
        <v>50000</v>
      </c>
      <c r="E175" s="8" t="s">
        <v>85</v>
      </c>
      <c r="F175" s="8" t="s">
        <v>93</v>
      </c>
      <c r="G175" s="8" t="s">
        <v>78</v>
      </c>
      <c r="H175" s="19"/>
    </row>
    <row r="176" spans="1:8" ht="37.5">
      <c r="A176" s="74"/>
      <c r="B176" s="74">
        <v>173</v>
      </c>
      <c r="C176" s="80" t="s">
        <v>271</v>
      </c>
      <c r="D176" s="83">
        <v>10000</v>
      </c>
      <c r="E176" s="8" t="s">
        <v>85</v>
      </c>
      <c r="F176" s="8" t="s">
        <v>93</v>
      </c>
      <c r="G176" s="8" t="s">
        <v>78</v>
      </c>
      <c r="H176" s="19"/>
    </row>
    <row r="177" spans="1:8" ht="37.5">
      <c r="A177" s="74"/>
      <c r="B177" s="74">
        <v>174</v>
      </c>
      <c r="C177" s="80" t="s">
        <v>272</v>
      </c>
      <c r="D177" s="83">
        <v>10000</v>
      </c>
      <c r="E177" s="8" t="s">
        <v>85</v>
      </c>
      <c r="F177" s="8" t="s">
        <v>93</v>
      </c>
      <c r="G177" s="8" t="s">
        <v>78</v>
      </c>
      <c r="H177" s="19"/>
    </row>
    <row r="178" spans="1:8">
      <c r="A178" s="74"/>
      <c r="B178" s="74">
        <v>175</v>
      </c>
      <c r="C178" s="80" t="s">
        <v>273</v>
      </c>
      <c r="D178" s="83">
        <v>500000</v>
      </c>
      <c r="E178" s="8" t="s">
        <v>85</v>
      </c>
      <c r="F178" s="8" t="s">
        <v>105</v>
      </c>
      <c r="G178" s="8" t="s">
        <v>78</v>
      </c>
      <c r="H178" s="19"/>
    </row>
    <row r="179" spans="1:8">
      <c r="A179" s="74"/>
      <c r="B179" s="74">
        <v>176</v>
      </c>
      <c r="C179" s="80" t="s">
        <v>274</v>
      </c>
      <c r="D179" s="83">
        <v>10000</v>
      </c>
      <c r="E179" s="8" t="s">
        <v>85</v>
      </c>
      <c r="F179" s="8" t="s">
        <v>93</v>
      </c>
      <c r="G179" s="8" t="s">
        <v>78</v>
      </c>
      <c r="H179" s="19"/>
    </row>
    <row r="180" spans="1:8" ht="37.5">
      <c r="A180" s="74"/>
      <c r="B180" s="74">
        <v>177</v>
      </c>
      <c r="C180" s="80" t="s">
        <v>276</v>
      </c>
      <c r="D180" s="83">
        <v>20000</v>
      </c>
      <c r="E180" s="8" t="s">
        <v>85</v>
      </c>
      <c r="F180" s="8" t="s">
        <v>93</v>
      </c>
      <c r="G180" s="8" t="s">
        <v>78</v>
      </c>
      <c r="H180" s="19"/>
    </row>
    <row r="181" spans="1:8">
      <c r="A181" s="74"/>
      <c r="B181" s="74">
        <v>178</v>
      </c>
      <c r="C181" s="80" t="s">
        <v>277</v>
      </c>
      <c r="D181" s="83">
        <v>30000</v>
      </c>
      <c r="E181" s="8" t="s">
        <v>85</v>
      </c>
      <c r="F181" s="8" t="s">
        <v>93</v>
      </c>
      <c r="G181" s="8" t="s">
        <v>78</v>
      </c>
      <c r="H181" s="19"/>
    </row>
    <row r="182" spans="1:8">
      <c r="A182" s="74"/>
      <c r="B182" s="74">
        <v>179</v>
      </c>
      <c r="C182" s="80" t="s">
        <v>278</v>
      </c>
      <c r="D182" s="83">
        <v>100000</v>
      </c>
      <c r="E182" s="8" t="s">
        <v>85</v>
      </c>
      <c r="F182" s="8" t="s">
        <v>93</v>
      </c>
      <c r="G182" s="8" t="s">
        <v>78</v>
      </c>
      <c r="H182" s="19"/>
    </row>
    <row r="183" spans="1:8">
      <c r="A183" s="74"/>
      <c r="B183" s="74">
        <v>180</v>
      </c>
      <c r="C183" s="80" t="s">
        <v>279</v>
      </c>
      <c r="D183" s="83">
        <v>10000</v>
      </c>
      <c r="E183" s="8" t="s">
        <v>85</v>
      </c>
      <c r="F183" s="8" t="s">
        <v>93</v>
      </c>
      <c r="G183" s="8" t="s">
        <v>78</v>
      </c>
      <c r="H183" s="19"/>
    </row>
    <row r="184" spans="1:8" ht="37.5">
      <c r="A184" s="74"/>
      <c r="B184" s="74">
        <v>181</v>
      </c>
      <c r="C184" s="80" t="s">
        <v>280</v>
      </c>
      <c r="D184" s="83">
        <v>50000</v>
      </c>
      <c r="E184" s="8" t="s">
        <v>85</v>
      </c>
      <c r="F184" s="8" t="s">
        <v>93</v>
      </c>
      <c r="G184" s="8" t="s">
        <v>78</v>
      </c>
      <c r="H184" s="19"/>
    </row>
    <row r="185" spans="1:8">
      <c r="A185" s="74"/>
      <c r="B185" s="74">
        <v>182</v>
      </c>
      <c r="C185" s="80" t="s">
        <v>283</v>
      </c>
      <c r="D185" s="83">
        <v>200000</v>
      </c>
      <c r="E185" s="8" t="s">
        <v>85</v>
      </c>
      <c r="F185" s="8" t="s">
        <v>93</v>
      </c>
      <c r="G185" s="8" t="s">
        <v>78</v>
      </c>
      <c r="H185" s="19"/>
    </row>
    <row r="186" spans="1:8" ht="37.5">
      <c r="A186" s="74"/>
      <c r="B186" s="74">
        <v>183</v>
      </c>
      <c r="C186" s="80" t="s">
        <v>284</v>
      </c>
      <c r="D186" s="83">
        <v>50000</v>
      </c>
      <c r="E186" s="8" t="s">
        <v>85</v>
      </c>
      <c r="F186" s="8" t="s">
        <v>93</v>
      </c>
      <c r="G186" s="8" t="s">
        <v>110</v>
      </c>
      <c r="H186" s="19"/>
    </row>
    <row r="187" spans="1:8">
      <c r="A187" s="74"/>
      <c r="B187" s="74">
        <v>184</v>
      </c>
      <c r="C187" s="80" t="s">
        <v>286</v>
      </c>
      <c r="D187" s="83">
        <v>25000</v>
      </c>
      <c r="E187" s="8" t="s">
        <v>85</v>
      </c>
      <c r="F187" s="8" t="s">
        <v>93</v>
      </c>
      <c r="G187" s="8" t="s">
        <v>110</v>
      </c>
      <c r="H187" s="19"/>
    </row>
    <row r="188" spans="1:8">
      <c r="A188" s="74"/>
      <c r="B188" s="74">
        <v>185</v>
      </c>
      <c r="C188" s="80" t="s">
        <v>287</v>
      </c>
      <c r="D188" s="83">
        <v>10000</v>
      </c>
      <c r="E188" s="8" t="s">
        <v>85</v>
      </c>
      <c r="F188" s="8" t="s">
        <v>93</v>
      </c>
      <c r="G188" s="8" t="s">
        <v>110</v>
      </c>
      <c r="H188" s="19"/>
    </row>
    <row r="189" spans="1:8" ht="37.5">
      <c r="A189" s="74"/>
      <c r="B189" s="74">
        <v>186</v>
      </c>
      <c r="C189" s="80" t="s">
        <v>301</v>
      </c>
      <c r="D189" s="83">
        <v>50000</v>
      </c>
      <c r="E189" s="8" t="s">
        <v>85</v>
      </c>
      <c r="F189" s="8" t="s">
        <v>93</v>
      </c>
      <c r="G189" s="8" t="s">
        <v>293</v>
      </c>
      <c r="H189" s="19"/>
    </row>
    <row r="190" spans="1:8" ht="37.5">
      <c r="A190" s="74"/>
      <c r="B190" s="74">
        <v>187</v>
      </c>
      <c r="C190" s="80" t="s">
        <v>302</v>
      </c>
      <c r="D190" s="83">
        <v>50000</v>
      </c>
      <c r="E190" s="8" t="s">
        <v>85</v>
      </c>
      <c r="F190" s="8" t="s">
        <v>93</v>
      </c>
      <c r="G190" s="8" t="s">
        <v>293</v>
      </c>
      <c r="H190" s="19"/>
    </row>
    <row r="191" spans="1:8" ht="37.5">
      <c r="A191" s="74"/>
      <c r="B191" s="74">
        <v>188</v>
      </c>
      <c r="C191" s="80" t="s">
        <v>304</v>
      </c>
      <c r="D191" s="83">
        <v>50000</v>
      </c>
      <c r="E191" s="8" t="s">
        <v>85</v>
      </c>
      <c r="F191" s="8" t="s">
        <v>93</v>
      </c>
      <c r="G191" s="8" t="s">
        <v>293</v>
      </c>
      <c r="H191" s="19"/>
    </row>
    <row r="192" spans="1:8" ht="37.5">
      <c r="A192" s="74"/>
      <c r="B192" s="74">
        <v>189</v>
      </c>
      <c r="C192" s="80" t="s">
        <v>308</v>
      </c>
      <c r="D192" s="83">
        <v>30000</v>
      </c>
      <c r="E192" s="8" t="s">
        <v>85</v>
      </c>
      <c r="F192" s="8" t="s">
        <v>93</v>
      </c>
      <c r="G192" s="8" t="s">
        <v>78</v>
      </c>
      <c r="H192" s="19"/>
    </row>
    <row r="193" spans="1:8" ht="37.5">
      <c r="A193" s="74"/>
      <c r="B193" s="74">
        <v>190</v>
      </c>
      <c r="C193" s="80" t="s">
        <v>309</v>
      </c>
      <c r="D193" s="83">
        <v>10000</v>
      </c>
      <c r="E193" s="8" t="s">
        <v>85</v>
      </c>
      <c r="F193" s="8" t="s">
        <v>93</v>
      </c>
      <c r="G193" s="8" t="s">
        <v>111</v>
      </c>
      <c r="H193" s="19"/>
    </row>
    <row r="194" spans="1:8">
      <c r="A194" s="74"/>
      <c r="B194" s="74">
        <v>191</v>
      </c>
      <c r="C194" s="80" t="s">
        <v>319</v>
      </c>
      <c r="D194" s="83">
        <v>10000</v>
      </c>
      <c r="E194" s="8" t="s">
        <v>85</v>
      </c>
      <c r="F194" s="8" t="s">
        <v>93</v>
      </c>
      <c r="G194" s="8" t="s">
        <v>321</v>
      </c>
      <c r="H194" s="19"/>
    </row>
    <row r="195" spans="1:8">
      <c r="A195" s="74"/>
      <c r="B195" s="74">
        <v>192</v>
      </c>
      <c r="C195" s="80" t="s">
        <v>314</v>
      </c>
      <c r="D195" s="83">
        <v>10000</v>
      </c>
      <c r="E195" s="8" t="s">
        <v>85</v>
      </c>
      <c r="F195" s="8" t="s">
        <v>93</v>
      </c>
      <c r="G195" s="8" t="s">
        <v>321</v>
      </c>
      <c r="H195" s="19"/>
    </row>
    <row r="196" spans="1:8">
      <c r="A196" s="74"/>
      <c r="B196" s="74">
        <v>193</v>
      </c>
      <c r="C196" s="80" t="s">
        <v>318</v>
      </c>
      <c r="D196" s="83">
        <v>10000</v>
      </c>
      <c r="E196" s="8" t="s">
        <v>85</v>
      </c>
      <c r="F196" s="8" t="s">
        <v>93</v>
      </c>
      <c r="G196" s="8" t="s">
        <v>321</v>
      </c>
      <c r="H196" s="19"/>
    </row>
    <row r="197" spans="1:8" ht="37.5">
      <c r="A197" s="74"/>
      <c r="B197" s="74">
        <v>194</v>
      </c>
      <c r="C197" s="80" t="s">
        <v>310</v>
      </c>
      <c r="D197" s="83">
        <v>10000</v>
      </c>
      <c r="E197" s="8" t="s">
        <v>85</v>
      </c>
      <c r="F197" s="8" t="s">
        <v>93</v>
      </c>
      <c r="G197" s="8" t="s">
        <v>110</v>
      </c>
      <c r="H197" s="19"/>
    </row>
    <row r="198" spans="1:8">
      <c r="A198" s="74"/>
      <c r="B198" s="74">
        <v>195</v>
      </c>
      <c r="C198" s="80" t="s">
        <v>323</v>
      </c>
      <c r="D198" s="83">
        <v>5000</v>
      </c>
      <c r="E198" s="8" t="s">
        <v>85</v>
      </c>
      <c r="F198" s="8" t="s">
        <v>93</v>
      </c>
      <c r="G198" s="8" t="s">
        <v>110</v>
      </c>
      <c r="H198" s="19"/>
    </row>
    <row r="199" spans="1:8">
      <c r="A199" s="74"/>
      <c r="B199" s="74">
        <v>196</v>
      </c>
      <c r="C199" s="80" t="s">
        <v>324</v>
      </c>
      <c r="D199" s="83">
        <v>5000</v>
      </c>
      <c r="E199" s="8" t="s">
        <v>85</v>
      </c>
      <c r="F199" s="8" t="s">
        <v>93</v>
      </c>
      <c r="G199" s="8" t="s">
        <v>325</v>
      </c>
      <c r="H199" s="19"/>
    </row>
    <row r="200" spans="1:8">
      <c r="A200" s="74"/>
      <c r="B200" s="74">
        <v>197</v>
      </c>
      <c r="C200" s="80" t="s">
        <v>326</v>
      </c>
      <c r="D200" s="83">
        <v>10000</v>
      </c>
      <c r="E200" s="8" t="s">
        <v>85</v>
      </c>
      <c r="F200" s="8" t="s">
        <v>93</v>
      </c>
      <c r="G200" s="8" t="s">
        <v>325</v>
      </c>
      <c r="H200" s="19"/>
    </row>
    <row r="201" spans="1:8" ht="37.5">
      <c r="A201" s="74"/>
      <c r="B201" s="74">
        <v>198</v>
      </c>
      <c r="C201" s="80" t="s">
        <v>327</v>
      </c>
      <c r="D201" s="83">
        <v>10000</v>
      </c>
      <c r="E201" s="8" t="s">
        <v>85</v>
      </c>
      <c r="F201" s="8" t="s">
        <v>93</v>
      </c>
      <c r="G201" s="8" t="s">
        <v>325</v>
      </c>
      <c r="H201" s="19"/>
    </row>
    <row r="202" spans="1:8" ht="37.5">
      <c r="A202" s="74"/>
      <c r="B202" s="74">
        <v>199</v>
      </c>
      <c r="C202" s="80" t="s">
        <v>330</v>
      </c>
      <c r="D202" s="83">
        <v>10000</v>
      </c>
      <c r="E202" s="8" t="s">
        <v>85</v>
      </c>
      <c r="F202" s="8" t="s">
        <v>93</v>
      </c>
      <c r="G202" s="8" t="s">
        <v>110</v>
      </c>
      <c r="H202" s="19"/>
    </row>
    <row r="203" spans="1:8" ht="37.5">
      <c r="A203" s="74"/>
      <c r="B203" s="74">
        <v>200</v>
      </c>
      <c r="C203" s="80" t="s">
        <v>331</v>
      </c>
      <c r="D203" s="83">
        <v>10000</v>
      </c>
      <c r="E203" s="8" t="s">
        <v>85</v>
      </c>
      <c r="F203" s="8" t="s">
        <v>93</v>
      </c>
      <c r="G203" s="8" t="s">
        <v>110</v>
      </c>
      <c r="H203" s="19"/>
    </row>
    <row r="204" spans="1:8" ht="37.5">
      <c r="A204" s="74"/>
      <c r="B204" s="74">
        <v>201</v>
      </c>
      <c r="C204" s="80" t="s">
        <v>332</v>
      </c>
      <c r="D204" s="83">
        <v>140000</v>
      </c>
      <c r="E204" s="8" t="s">
        <v>85</v>
      </c>
      <c r="F204" s="8" t="s">
        <v>93</v>
      </c>
      <c r="G204" s="8" t="s">
        <v>110</v>
      </c>
      <c r="H204" s="19"/>
    </row>
    <row r="205" spans="1:8" ht="37.5">
      <c r="A205" s="74"/>
      <c r="B205" s="74">
        <v>202</v>
      </c>
      <c r="C205" s="80" t="s">
        <v>333</v>
      </c>
      <c r="D205" s="83">
        <v>98000</v>
      </c>
      <c r="E205" s="8" t="s">
        <v>85</v>
      </c>
      <c r="F205" s="8" t="s">
        <v>93</v>
      </c>
      <c r="G205" s="8" t="s">
        <v>110</v>
      </c>
      <c r="H205" s="19"/>
    </row>
    <row r="206" spans="1:8" ht="37.5">
      <c r="A206" s="74"/>
      <c r="B206" s="74">
        <v>203</v>
      </c>
      <c r="C206" s="80" t="s">
        <v>334</v>
      </c>
      <c r="D206" s="83">
        <v>100000</v>
      </c>
      <c r="E206" s="8" t="s">
        <v>85</v>
      </c>
      <c r="F206" s="8" t="s">
        <v>93</v>
      </c>
      <c r="G206" s="8" t="s">
        <v>110</v>
      </c>
      <c r="H206" s="19"/>
    </row>
    <row r="207" spans="1:8" ht="37.5">
      <c r="A207" s="74"/>
      <c r="B207" s="74">
        <v>204</v>
      </c>
      <c r="C207" s="80" t="s">
        <v>335</v>
      </c>
      <c r="D207" s="83">
        <v>98000</v>
      </c>
      <c r="E207" s="8" t="s">
        <v>85</v>
      </c>
      <c r="F207" s="8" t="s">
        <v>93</v>
      </c>
      <c r="G207" s="8" t="s">
        <v>110</v>
      </c>
      <c r="H207" s="19"/>
    </row>
    <row r="208" spans="1:8" ht="37.5">
      <c r="A208" s="74"/>
      <c r="B208" s="74">
        <v>205</v>
      </c>
      <c r="C208" s="80" t="s">
        <v>0</v>
      </c>
      <c r="D208" s="83">
        <v>100000</v>
      </c>
      <c r="E208" s="8" t="s">
        <v>85</v>
      </c>
      <c r="F208" s="8" t="s">
        <v>93</v>
      </c>
      <c r="G208" s="8" t="s">
        <v>110</v>
      </c>
      <c r="H208" s="19"/>
    </row>
    <row r="209" spans="1:8">
      <c r="A209" s="74"/>
      <c r="B209" s="74">
        <v>206</v>
      </c>
      <c r="C209" s="80" t="s">
        <v>1</v>
      </c>
      <c r="D209" s="83">
        <v>100000</v>
      </c>
      <c r="E209" s="8" t="s">
        <v>85</v>
      </c>
      <c r="F209" s="8" t="s">
        <v>93</v>
      </c>
      <c r="G209" s="8" t="s">
        <v>110</v>
      </c>
      <c r="H209" s="19"/>
    </row>
    <row r="210" spans="1:8" ht="37.5">
      <c r="A210" s="74"/>
      <c r="B210" s="74">
        <v>207</v>
      </c>
      <c r="C210" s="80" t="s">
        <v>2</v>
      </c>
      <c r="D210" s="83">
        <v>50000</v>
      </c>
      <c r="E210" s="8" t="s">
        <v>85</v>
      </c>
      <c r="F210" s="8" t="s">
        <v>93</v>
      </c>
      <c r="G210" s="8" t="s">
        <v>293</v>
      </c>
      <c r="H210" s="19"/>
    </row>
    <row r="211" spans="1:8" ht="37.5">
      <c r="A211" s="74"/>
      <c r="B211" s="74">
        <v>208</v>
      </c>
      <c r="C211" s="80" t="s">
        <v>3</v>
      </c>
      <c r="D211" s="83">
        <v>20000</v>
      </c>
      <c r="E211" s="8" t="s">
        <v>85</v>
      </c>
      <c r="F211" s="8" t="s">
        <v>93</v>
      </c>
      <c r="G211" s="8" t="s">
        <v>78</v>
      </c>
      <c r="H211" s="19"/>
    </row>
    <row r="212" spans="1:8" ht="37.5">
      <c r="A212" s="74"/>
      <c r="B212" s="74">
        <v>209</v>
      </c>
      <c r="C212" s="80" t="s">
        <v>4</v>
      </c>
      <c r="D212" s="83">
        <v>10000</v>
      </c>
      <c r="E212" s="8" t="s">
        <v>85</v>
      </c>
      <c r="F212" s="8" t="s">
        <v>93</v>
      </c>
      <c r="G212" s="8" t="s">
        <v>78</v>
      </c>
      <c r="H212" s="19"/>
    </row>
    <row r="213" spans="1:8" ht="37.5">
      <c r="A213" s="74"/>
      <c r="B213" s="74">
        <v>210</v>
      </c>
      <c r="C213" s="80" t="s">
        <v>5</v>
      </c>
      <c r="D213" s="83">
        <v>200000</v>
      </c>
      <c r="E213" s="8" t="s">
        <v>85</v>
      </c>
      <c r="F213" s="8" t="s">
        <v>93</v>
      </c>
      <c r="G213" s="8" t="s">
        <v>78</v>
      </c>
      <c r="H213" s="19"/>
    </row>
    <row r="214" spans="1:8" ht="37.5">
      <c r="A214" s="74"/>
      <c r="B214" s="74">
        <v>211</v>
      </c>
      <c r="C214" s="80" t="s">
        <v>6</v>
      </c>
      <c r="D214" s="83">
        <v>140000</v>
      </c>
      <c r="E214" s="8" t="s">
        <v>85</v>
      </c>
      <c r="F214" s="8" t="s">
        <v>93</v>
      </c>
      <c r="G214" s="8" t="s">
        <v>110</v>
      </c>
      <c r="H214" s="19"/>
    </row>
    <row r="215" spans="1:8">
      <c r="A215" s="74"/>
      <c r="B215" s="74">
        <v>212</v>
      </c>
      <c r="C215" s="80" t="s">
        <v>7</v>
      </c>
      <c r="D215" s="83">
        <v>20000</v>
      </c>
      <c r="E215" s="8" t="s">
        <v>85</v>
      </c>
      <c r="F215" s="8" t="s">
        <v>93</v>
      </c>
      <c r="G215" s="8" t="s">
        <v>78</v>
      </c>
      <c r="H215" s="19"/>
    </row>
    <row r="216" spans="1:8">
      <c r="A216" s="74"/>
      <c r="B216" s="74">
        <v>213</v>
      </c>
      <c r="C216" s="80" t="s">
        <v>8</v>
      </c>
      <c r="D216" s="83">
        <v>15000</v>
      </c>
      <c r="E216" s="8" t="s">
        <v>85</v>
      </c>
      <c r="F216" s="8" t="s">
        <v>93</v>
      </c>
      <c r="G216" s="8" t="s">
        <v>110</v>
      </c>
      <c r="H216" s="19"/>
    </row>
    <row r="217" spans="1:8">
      <c r="A217" s="74"/>
      <c r="B217" s="74">
        <v>214</v>
      </c>
      <c r="C217" s="80" t="s">
        <v>9</v>
      </c>
      <c r="D217" s="83">
        <v>20000</v>
      </c>
      <c r="E217" s="8" t="s">
        <v>85</v>
      </c>
      <c r="F217" s="8" t="s">
        <v>93</v>
      </c>
      <c r="G217" s="8" t="s">
        <v>110</v>
      </c>
      <c r="H217" s="19"/>
    </row>
    <row r="218" spans="1:8" ht="37.5">
      <c r="A218" s="74"/>
      <c r="B218" s="74">
        <v>215</v>
      </c>
      <c r="C218" s="80" t="s">
        <v>11</v>
      </c>
      <c r="D218" s="83">
        <v>10000</v>
      </c>
      <c r="E218" s="8" t="s">
        <v>85</v>
      </c>
      <c r="F218" s="8" t="s">
        <v>93</v>
      </c>
      <c r="G218" s="8" t="s">
        <v>110</v>
      </c>
      <c r="H218" s="19"/>
    </row>
    <row r="219" spans="1:8" ht="37.5">
      <c r="A219" s="74"/>
      <c r="B219" s="74">
        <v>216</v>
      </c>
      <c r="C219" s="80" t="s">
        <v>12</v>
      </c>
      <c r="D219" s="83">
        <v>5000</v>
      </c>
      <c r="E219" s="8" t="s">
        <v>85</v>
      </c>
      <c r="F219" s="8" t="s">
        <v>93</v>
      </c>
      <c r="G219" s="8" t="s">
        <v>110</v>
      </c>
      <c r="H219" s="19"/>
    </row>
    <row r="220" spans="1:8">
      <c r="A220" s="74"/>
      <c r="B220" s="74">
        <v>217</v>
      </c>
      <c r="C220" s="80" t="s">
        <v>13</v>
      </c>
      <c r="D220" s="83">
        <v>100000</v>
      </c>
      <c r="E220" s="8" t="s">
        <v>85</v>
      </c>
      <c r="F220" s="8" t="s">
        <v>93</v>
      </c>
      <c r="G220" s="8" t="s">
        <v>325</v>
      </c>
      <c r="H220" s="19"/>
    </row>
    <row r="221" spans="1:8" ht="37.5">
      <c r="A221" s="74"/>
      <c r="B221" s="74">
        <v>218</v>
      </c>
      <c r="C221" s="80" t="s">
        <v>14</v>
      </c>
      <c r="D221" s="83">
        <v>10000</v>
      </c>
      <c r="E221" s="8" t="s">
        <v>85</v>
      </c>
      <c r="F221" s="8" t="s">
        <v>93</v>
      </c>
      <c r="G221" s="8" t="s">
        <v>110</v>
      </c>
      <c r="H221" s="19"/>
    </row>
    <row r="222" spans="1:8" ht="37.5">
      <c r="A222" s="74"/>
      <c r="B222" s="74">
        <v>219</v>
      </c>
      <c r="C222" s="80" t="s">
        <v>16</v>
      </c>
      <c r="D222" s="83">
        <v>20000</v>
      </c>
      <c r="E222" s="8" t="s">
        <v>85</v>
      </c>
      <c r="F222" s="8" t="s">
        <v>93</v>
      </c>
      <c r="G222" s="8" t="s">
        <v>110</v>
      </c>
      <c r="H222" s="19"/>
    </row>
    <row r="223" spans="1:8" ht="37.5">
      <c r="A223" s="74"/>
      <c r="B223" s="74">
        <v>220</v>
      </c>
      <c r="C223" s="80" t="s">
        <v>17</v>
      </c>
      <c r="D223" s="83">
        <v>100000</v>
      </c>
      <c r="E223" s="8" t="s">
        <v>85</v>
      </c>
      <c r="F223" s="8" t="s">
        <v>93</v>
      </c>
      <c r="G223" s="8" t="s">
        <v>110</v>
      </c>
      <c r="H223" s="19"/>
    </row>
    <row r="224" spans="1:8">
      <c r="A224" s="74"/>
      <c r="B224" s="74">
        <v>221</v>
      </c>
      <c r="C224" s="80" t="s">
        <v>18</v>
      </c>
      <c r="D224" s="83">
        <v>20000</v>
      </c>
      <c r="E224" s="8" t="s">
        <v>85</v>
      </c>
      <c r="F224" s="8" t="s">
        <v>93</v>
      </c>
      <c r="G224" s="8" t="s">
        <v>110</v>
      </c>
      <c r="H224" s="19"/>
    </row>
    <row r="225" spans="1:8" ht="37.5">
      <c r="A225" s="74"/>
      <c r="B225" s="74">
        <v>222</v>
      </c>
      <c r="C225" s="80" t="s">
        <v>19</v>
      </c>
      <c r="D225" s="83">
        <v>20000</v>
      </c>
      <c r="E225" s="8" t="s">
        <v>85</v>
      </c>
      <c r="F225" s="8" t="s">
        <v>93</v>
      </c>
      <c r="G225" s="8" t="s">
        <v>110</v>
      </c>
      <c r="H225" s="19"/>
    </row>
    <row r="226" spans="1:8" ht="37.5">
      <c r="A226" s="74"/>
      <c r="B226" s="74">
        <v>223</v>
      </c>
      <c r="C226" s="80" t="s">
        <v>20</v>
      </c>
      <c r="D226" s="83">
        <v>11800</v>
      </c>
      <c r="E226" s="8" t="s">
        <v>85</v>
      </c>
      <c r="F226" s="8" t="s">
        <v>93</v>
      </c>
      <c r="G226" s="8" t="s">
        <v>110</v>
      </c>
      <c r="H226" s="19"/>
    </row>
    <row r="227" spans="1:8">
      <c r="A227" s="74"/>
      <c r="B227" s="74">
        <v>224</v>
      </c>
      <c r="C227" s="80" t="s">
        <v>21</v>
      </c>
      <c r="D227" s="83">
        <v>10000</v>
      </c>
      <c r="E227" s="8" t="s">
        <v>85</v>
      </c>
      <c r="F227" s="8" t="s">
        <v>93</v>
      </c>
      <c r="G227" s="8" t="s">
        <v>110</v>
      </c>
      <c r="H227" s="19"/>
    </row>
    <row r="228" spans="1:8" ht="37.5">
      <c r="A228" s="74"/>
      <c r="B228" s="74">
        <v>225</v>
      </c>
      <c r="C228" s="80" t="s">
        <v>28</v>
      </c>
      <c r="D228" s="83">
        <v>5000</v>
      </c>
      <c r="E228" s="8" t="s">
        <v>85</v>
      </c>
      <c r="F228" s="8" t="s">
        <v>93</v>
      </c>
      <c r="G228" s="8" t="s">
        <v>110</v>
      </c>
      <c r="H228" s="19"/>
    </row>
    <row r="229" spans="1:8">
      <c r="A229" s="74"/>
      <c r="B229" s="74">
        <v>226</v>
      </c>
      <c r="C229" s="80" t="s">
        <v>22</v>
      </c>
      <c r="D229" s="83">
        <v>5000</v>
      </c>
      <c r="E229" s="8" t="s">
        <v>85</v>
      </c>
      <c r="F229" s="8" t="s">
        <v>93</v>
      </c>
      <c r="G229" s="8" t="s">
        <v>110</v>
      </c>
      <c r="H229" s="19"/>
    </row>
    <row r="230" spans="1:8" ht="37.5">
      <c r="A230" s="74"/>
      <c r="B230" s="74">
        <v>227</v>
      </c>
      <c r="C230" s="80" t="s">
        <v>29</v>
      </c>
      <c r="D230" s="83">
        <v>5000</v>
      </c>
      <c r="E230" s="8" t="s">
        <v>85</v>
      </c>
      <c r="F230" s="8" t="s">
        <v>93</v>
      </c>
      <c r="G230" s="8" t="s">
        <v>110</v>
      </c>
      <c r="H230" s="19"/>
    </row>
    <row r="231" spans="1:8">
      <c r="A231" s="74"/>
      <c r="B231" s="74">
        <v>228</v>
      </c>
      <c r="C231" s="80" t="s">
        <v>30</v>
      </c>
      <c r="D231" s="83">
        <v>5000</v>
      </c>
      <c r="E231" s="8" t="s">
        <v>85</v>
      </c>
      <c r="F231" s="8" t="s">
        <v>93</v>
      </c>
      <c r="G231" s="8" t="s">
        <v>110</v>
      </c>
      <c r="H231" s="19"/>
    </row>
    <row r="232" spans="1:8">
      <c r="A232" s="74"/>
      <c r="B232" s="74">
        <v>229</v>
      </c>
      <c r="C232" s="80" t="s">
        <v>31</v>
      </c>
      <c r="D232" s="83">
        <v>5000</v>
      </c>
      <c r="E232" s="8" t="s">
        <v>85</v>
      </c>
      <c r="F232" s="8" t="s">
        <v>93</v>
      </c>
      <c r="G232" s="8" t="s">
        <v>110</v>
      </c>
      <c r="H232" s="19"/>
    </row>
    <row r="233" spans="1:8">
      <c r="A233" s="74"/>
      <c r="B233" s="74">
        <v>230</v>
      </c>
      <c r="C233" s="80" t="s">
        <v>32</v>
      </c>
      <c r="D233" s="83">
        <v>5000</v>
      </c>
      <c r="E233" s="8" t="s">
        <v>85</v>
      </c>
      <c r="F233" s="8" t="s">
        <v>93</v>
      </c>
      <c r="G233" s="8" t="s">
        <v>110</v>
      </c>
      <c r="H233" s="19"/>
    </row>
    <row r="234" spans="1:8" ht="37.5">
      <c r="A234" s="74"/>
      <c r="B234" s="74">
        <v>231</v>
      </c>
      <c r="C234" s="80" t="s">
        <v>33</v>
      </c>
      <c r="D234" s="83">
        <v>5000</v>
      </c>
      <c r="E234" s="8" t="s">
        <v>85</v>
      </c>
      <c r="F234" s="8" t="s">
        <v>93</v>
      </c>
      <c r="G234" s="8" t="s">
        <v>110</v>
      </c>
      <c r="H234" s="19"/>
    </row>
    <row r="235" spans="1:8" ht="37.5">
      <c r="A235" s="74"/>
      <c r="B235" s="74">
        <v>232</v>
      </c>
      <c r="C235" s="80" t="s">
        <v>34</v>
      </c>
      <c r="D235" s="83">
        <v>5000</v>
      </c>
      <c r="E235" s="8" t="s">
        <v>85</v>
      </c>
      <c r="F235" s="8" t="s">
        <v>93</v>
      </c>
      <c r="G235" s="8" t="s">
        <v>110</v>
      </c>
      <c r="H235" s="19"/>
    </row>
    <row r="236" spans="1:8">
      <c r="A236" s="74"/>
      <c r="B236" s="74">
        <v>233</v>
      </c>
      <c r="C236" s="80" t="s">
        <v>35</v>
      </c>
      <c r="D236" s="83">
        <v>5000</v>
      </c>
      <c r="E236" s="8" t="s">
        <v>85</v>
      </c>
      <c r="F236" s="8" t="s">
        <v>93</v>
      </c>
      <c r="G236" s="8" t="s">
        <v>110</v>
      </c>
      <c r="H236" s="19"/>
    </row>
    <row r="237" spans="1:8">
      <c r="A237" s="74"/>
      <c r="B237" s="74">
        <v>234</v>
      </c>
      <c r="C237" s="80" t="s">
        <v>36</v>
      </c>
      <c r="D237" s="83">
        <v>5000</v>
      </c>
      <c r="E237" s="8" t="s">
        <v>85</v>
      </c>
      <c r="F237" s="8" t="s">
        <v>93</v>
      </c>
      <c r="G237" s="8" t="s">
        <v>110</v>
      </c>
      <c r="H237" s="19"/>
    </row>
    <row r="238" spans="1:8" ht="37.5">
      <c r="A238" s="74"/>
      <c r="B238" s="74">
        <v>235</v>
      </c>
      <c r="C238" s="80" t="s">
        <v>37</v>
      </c>
      <c r="D238" s="83">
        <v>5000</v>
      </c>
      <c r="E238" s="8" t="s">
        <v>85</v>
      </c>
      <c r="F238" s="8" t="s">
        <v>93</v>
      </c>
      <c r="G238" s="8" t="s">
        <v>110</v>
      </c>
      <c r="H238" s="19"/>
    </row>
    <row r="239" spans="1:8">
      <c r="A239" s="74"/>
      <c r="B239" s="74">
        <v>236</v>
      </c>
      <c r="C239" s="80" t="s">
        <v>38</v>
      </c>
      <c r="D239" s="83">
        <v>5000</v>
      </c>
      <c r="E239" s="8" t="s">
        <v>85</v>
      </c>
      <c r="F239" s="8" t="s">
        <v>93</v>
      </c>
      <c r="G239" s="8" t="s">
        <v>110</v>
      </c>
      <c r="H239" s="19"/>
    </row>
    <row r="240" spans="1:8">
      <c r="A240" s="74"/>
      <c r="B240" s="74">
        <v>237</v>
      </c>
      <c r="C240" s="80" t="s">
        <v>39</v>
      </c>
      <c r="D240" s="83">
        <v>5000</v>
      </c>
      <c r="E240" s="8" t="s">
        <v>85</v>
      </c>
      <c r="F240" s="8" t="s">
        <v>93</v>
      </c>
      <c r="G240" s="8" t="s">
        <v>110</v>
      </c>
      <c r="H240" s="19"/>
    </row>
    <row r="241" spans="1:8">
      <c r="A241" s="74"/>
      <c r="B241" s="74">
        <v>238</v>
      </c>
      <c r="C241" s="80" t="s">
        <v>40</v>
      </c>
      <c r="D241" s="83">
        <v>5000</v>
      </c>
      <c r="E241" s="8" t="s">
        <v>85</v>
      </c>
      <c r="F241" s="8" t="s">
        <v>93</v>
      </c>
      <c r="G241" s="8" t="s">
        <v>110</v>
      </c>
      <c r="H241" s="19"/>
    </row>
    <row r="242" spans="1:8">
      <c r="A242" s="74"/>
      <c r="B242" s="74">
        <v>239</v>
      </c>
      <c r="C242" s="80" t="s">
        <v>41</v>
      </c>
      <c r="D242" s="83">
        <v>30000</v>
      </c>
      <c r="E242" s="8" t="s">
        <v>85</v>
      </c>
      <c r="F242" s="8" t="s">
        <v>93</v>
      </c>
      <c r="G242" s="8" t="s">
        <v>110</v>
      </c>
      <c r="H242" s="19"/>
    </row>
    <row r="243" spans="1:8">
      <c r="A243" s="74"/>
      <c r="B243" s="74">
        <v>240</v>
      </c>
      <c r="C243" s="80" t="s">
        <v>42</v>
      </c>
      <c r="D243" s="83">
        <v>5000</v>
      </c>
      <c r="E243" s="8" t="s">
        <v>85</v>
      </c>
      <c r="F243" s="8" t="s">
        <v>93</v>
      </c>
      <c r="G243" s="8" t="s">
        <v>110</v>
      </c>
      <c r="H243" s="19"/>
    </row>
    <row r="244" spans="1:8">
      <c r="A244" s="74"/>
      <c r="B244" s="74">
        <v>241</v>
      </c>
      <c r="C244" s="80" t="s">
        <v>43</v>
      </c>
      <c r="D244" s="83">
        <v>10000</v>
      </c>
      <c r="E244" s="8" t="s">
        <v>85</v>
      </c>
      <c r="F244" s="8" t="s">
        <v>93</v>
      </c>
      <c r="G244" s="8" t="s">
        <v>110</v>
      </c>
      <c r="H244" s="19"/>
    </row>
    <row r="245" spans="1:8">
      <c r="A245" s="74"/>
      <c r="B245" s="74">
        <v>242</v>
      </c>
      <c r="C245" s="80" t="s">
        <v>44</v>
      </c>
      <c r="D245" s="83">
        <v>10000</v>
      </c>
      <c r="E245" s="8" t="s">
        <v>85</v>
      </c>
      <c r="F245" s="8" t="s">
        <v>93</v>
      </c>
      <c r="G245" s="8" t="s">
        <v>110</v>
      </c>
      <c r="H245" s="19"/>
    </row>
    <row r="246" spans="1:8">
      <c r="A246" s="74"/>
      <c r="B246" s="74">
        <v>243</v>
      </c>
      <c r="C246" s="80" t="s">
        <v>46</v>
      </c>
      <c r="D246" s="83">
        <v>100000</v>
      </c>
      <c r="E246" s="8" t="s">
        <v>85</v>
      </c>
      <c r="F246" s="8" t="s">
        <v>93</v>
      </c>
      <c r="G246" s="8" t="s">
        <v>110</v>
      </c>
      <c r="H246" s="19"/>
    </row>
    <row r="247" spans="1:8">
      <c r="A247" s="74"/>
      <c r="B247" s="74">
        <v>244</v>
      </c>
      <c r="C247" s="80" t="s">
        <v>47</v>
      </c>
      <c r="D247" s="83">
        <v>100000</v>
      </c>
      <c r="E247" s="8" t="s">
        <v>85</v>
      </c>
      <c r="F247" s="8" t="s">
        <v>93</v>
      </c>
      <c r="G247" s="8" t="s">
        <v>110</v>
      </c>
      <c r="H247" s="19"/>
    </row>
    <row r="248" spans="1:8">
      <c r="A248" s="74"/>
      <c r="B248" s="74">
        <v>245</v>
      </c>
      <c r="C248" s="80" t="s">
        <v>48</v>
      </c>
      <c r="D248" s="83">
        <v>1000000</v>
      </c>
      <c r="E248" s="8" t="s">
        <v>85</v>
      </c>
      <c r="F248" s="8" t="s">
        <v>105</v>
      </c>
      <c r="G248" s="8" t="s">
        <v>168</v>
      </c>
      <c r="H248" s="19"/>
    </row>
    <row r="249" spans="1:8">
      <c r="A249" s="74"/>
      <c r="B249" s="74">
        <v>246</v>
      </c>
      <c r="C249" s="80" t="s">
        <v>50</v>
      </c>
      <c r="D249" s="83">
        <v>50000</v>
      </c>
      <c r="E249" s="8" t="s">
        <v>85</v>
      </c>
      <c r="F249" s="8" t="s">
        <v>93</v>
      </c>
      <c r="G249" s="8" t="s">
        <v>110</v>
      </c>
      <c r="H249" s="19"/>
    </row>
    <row r="250" spans="1:8" ht="37.5">
      <c r="A250" s="74"/>
      <c r="B250" s="74">
        <v>247</v>
      </c>
      <c r="C250" s="80" t="s">
        <v>51</v>
      </c>
      <c r="D250" s="83">
        <v>20000</v>
      </c>
      <c r="E250" s="8" t="s">
        <v>85</v>
      </c>
      <c r="F250" s="8" t="s">
        <v>93</v>
      </c>
      <c r="G250" s="8" t="s">
        <v>110</v>
      </c>
      <c r="H250" s="19"/>
    </row>
    <row r="251" spans="1:8">
      <c r="A251" s="74"/>
      <c r="B251" s="74">
        <v>248</v>
      </c>
      <c r="C251" s="80" t="s">
        <v>52</v>
      </c>
      <c r="D251" s="83">
        <v>10000</v>
      </c>
      <c r="E251" s="8" t="s">
        <v>85</v>
      </c>
      <c r="F251" s="8" t="s">
        <v>93</v>
      </c>
      <c r="G251" s="8" t="s">
        <v>110</v>
      </c>
      <c r="H251" s="19"/>
    </row>
    <row r="252" spans="1:8">
      <c r="A252" s="74"/>
      <c r="B252" s="74">
        <v>249</v>
      </c>
      <c r="C252" s="80" t="s">
        <v>53</v>
      </c>
      <c r="D252" s="83">
        <v>100000</v>
      </c>
      <c r="E252" s="8" t="s">
        <v>85</v>
      </c>
      <c r="F252" s="8" t="s">
        <v>105</v>
      </c>
      <c r="G252" s="8" t="s">
        <v>168</v>
      </c>
      <c r="H252" s="19"/>
    </row>
    <row r="253" spans="1:8" ht="37.5">
      <c r="A253" s="74"/>
      <c r="B253" s="74">
        <v>250</v>
      </c>
      <c r="C253" s="80" t="s">
        <v>54</v>
      </c>
      <c r="D253" s="83">
        <v>50000</v>
      </c>
      <c r="E253" s="8" t="s">
        <v>85</v>
      </c>
      <c r="F253" s="8" t="s">
        <v>93</v>
      </c>
      <c r="G253" s="8" t="s">
        <v>110</v>
      </c>
      <c r="H253" s="19"/>
    </row>
    <row r="254" spans="1:8" ht="37.5">
      <c r="A254" s="74"/>
      <c r="B254" s="74">
        <v>251</v>
      </c>
      <c r="C254" s="80" t="s">
        <v>55</v>
      </c>
      <c r="D254" s="83">
        <v>10000</v>
      </c>
      <c r="E254" s="8" t="s">
        <v>85</v>
      </c>
      <c r="F254" s="8" t="s">
        <v>93</v>
      </c>
      <c r="G254" s="8" t="s">
        <v>110</v>
      </c>
      <c r="H254" s="19"/>
    </row>
    <row r="255" spans="1:8">
      <c r="A255" s="74"/>
      <c r="B255" s="74">
        <v>252</v>
      </c>
      <c r="C255" s="80" t="s">
        <v>56</v>
      </c>
      <c r="D255" s="83">
        <v>50000</v>
      </c>
      <c r="E255" s="8" t="s">
        <v>85</v>
      </c>
      <c r="F255" s="8" t="s">
        <v>93</v>
      </c>
      <c r="G255" s="8" t="s">
        <v>168</v>
      </c>
      <c r="H255" s="19"/>
    </row>
    <row r="256" spans="1:8">
      <c r="A256" s="74"/>
      <c r="B256" s="74">
        <v>253</v>
      </c>
      <c r="C256" s="80" t="s">
        <v>57</v>
      </c>
      <c r="D256" s="83">
        <v>50000</v>
      </c>
      <c r="E256" s="8" t="s">
        <v>85</v>
      </c>
      <c r="F256" s="8" t="s">
        <v>93</v>
      </c>
      <c r="G256" s="8" t="s">
        <v>168</v>
      </c>
      <c r="H256" s="19"/>
    </row>
    <row r="257" spans="1:8" ht="37.5">
      <c r="A257" s="74"/>
      <c r="B257" s="74">
        <v>254</v>
      </c>
      <c r="C257" s="80" t="s">
        <v>58</v>
      </c>
      <c r="D257" s="83">
        <v>5000</v>
      </c>
      <c r="E257" s="8" t="s">
        <v>85</v>
      </c>
      <c r="F257" s="8" t="s">
        <v>93</v>
      </c>
      <c r="G257" s="8" t="s">
        <v>110</v>
      </c>
      <c r="H257" s="19"/>
    </row>
    <row r="258" spans="1:8">
      <c r="A258" s="74"/>
      <c r="B258" s="74">
        <v>255</v>
      </c>
      <c r="C258" s="80" t="s">
        <v>59</v>
      </c>
      <c r="D258" s="83">
        <v>50000</v>
      </c>
      <c r="E258" s="8" t="s">
        <v>85</v>
      </c>
      <c r="F258" s="8" t="s">
        <v>93</v>
      </c>
      <c r="G258" s="8" t="s">
        <v>78</v>
      </c>
      <c r="H258" s="19"/>
    </row>
    <row r="259" spans="1:8" ht="37.5">
      <c r="A259" s="74"/>
      <c r="B259" s="74">
        <v>256</v>
      </c>
      <c r="C259" s="80" t="s">
        <v>60</v>
      </c>
      <c r="D259" s="83">
        <v>50000</v>
      </c>
      <c r="E259" s="8" t="s">
        <v>85</v>
      </c>
      <c r="F259" s="8" t="s">
        <v>93</v>
      </c>
      <c r="G259" s="8" t="s">
        <v>78</v>
      </c>
      <c r="H259" s="19"/>
    </row>
    <row r="260" spans="1:8" ht="37.5">
      <c r="A260" s="74"/>
      <c r="B260" s="74">
        <v>257</v>
      </c>
      <c r="C260" s="80" t="s">
        <v>61</v>
      </c>
      <c r="D260" s="83">
        <v>10000</v>
      </c>
      <c r="E260" s="8" t="s">
        <v>85</v>
      </c>
      <c r="F260" s="8" t="s">
        <v>93</v>
      </c>
      <c r="G260" s="8" t="s">
        <v>78</v>
      </c>
      <c r="H260" s="19"/>
    </row>
    <row r="261" spans="1:8" ht="37.5">
      <c r="A261" s="74"/>
      <c r="B261" s="74">
        <v>258</v>
      </c>
      <c r="C261" s="80" t="s">
        <v>62</v>
      </c>
      <c r="D261" s="83">
        <v>10000</v>
      </c>
      <c r="E261" s="8" t="s">
        <v>85</v>
      </c>
      <c r="F261" s="8" t="s">
        <v>93</v>
      </c>
      <c r="G261" s="8" t="s">
        <v>78</v>
      </c>
      <c r="H261" s="19"/>
    </row>
    <row r="262" spans="1:8">
      <c r="A262" s="74"/>
      <c r="B262" s="74">
        <v>259</v>
      </c>
      <c r="C262" s="80" t="s">
        <v>63</v>
      </c>
      <c r="D262" s="83">
        <v>100000</v>
      </c>
      <c r="E262" s="8" t="s">
        <v>85</v>
      </c>
      <c r="F262" s="8" t="s">
        <v>93</v>
      </c>
      <c r="G262" s="8" t="s">
        <v>78</v>
      </c>
      <c r="H262" s="19"/>
    </row>
    <row r="263" spans="1:8">
      <c r="A263" s="74"/>
      <c r="B263" s="74">
        <v>260</v>
      </c>
      <c r="C263" s="80" t="s">
        <v>64</v>
      </c>
      <c r="D263" s="83">
        <v>10000</v>
      </c>
      <c r="E263" s="8" t="s">
        <v>85</v>
      </c>
      <c r="F263" s="8" t="s">
        <v>93</v>
      </c>
      <c r="G263" s="8" t="s">
        <v>78</v>
      </c>
      <c r="H263" s="19"/>
    </row>
    <row r="264" spans="1:8">
      <c r="A264" s="74"/>
      <c r="B264" s="74">
        <v>261</v>
      </c>
      <c r="C264" s="80" t="s">
        <v>65</v>
      </c>
      <c r="D264" s="83">
        <v>10000</v>
      </c>
      <c r="E264" s="8" t="s">
        <v>85</v>
      </c>
      <c r="F264" s="8" t="s">
        <v>93</v>
      </c>
      <c r="G264" s="8" t="s">
        <v>78</v>
      </c>
      <c r="H264" s="19"/>
    </row>
    <row r="265" spans="1:8">
      <c r="A265" s="74"/>
      <c r="B265" s="74">
        <v>262</v>
      </c>
      <c r="C265" s="80" t="s">
        <v>66</v>
      </c>
      <c r="D265" s="83">
        <v>200000</v>
      </c>
      <c r="E265" s="8" t="s">
        <v>85</v>
      </c>
      <c r="F265" s="8" t="s">
        <v>93</v>
      </c>
      <c r="G265" s="8" t="s">
        <v>78</v>
      </c>
      <c r="H265" s="19"/>
    </row>
    <row r="266" spans="1:8">
      <c r="A266" s="74"/>
      <c r="B266" s="74">
        <v>263</v>
      </c>
      <c r="C266" s="80" t="s">
        <v>67</v>
      </c>
      <c r="D266" s="83">
        <v>10000</v>
      </c>
      <c r="E266" s="8" t="s">
        <v>85</v>
      </c>
      <c r="F266" s="8" t="s">
        <v>93</v>
      </c>
      <c r="G266" s="8" t="s">
        <v>78</v>
      </c>
      <c r="H266" s="19"/>
    </row>
    <row r="267" spans="1:8" ht="37.5">
      <c r="A267" s="74">
        <v>2559</v>
      </c>
      <c r="B267" s="74">
        <v>264</v>
      </c>
      <c r="C267" s="80" t="s">
        <v>23</v>
      </c>
      <c r="D267" s="83">
        <v>100000</v>
      </c>
      <c r="E267" s="8" t="s">
        <v>85</v>
      </c>
      <c r="F267" s="8" t="s">
        <v>93</v>
      </c>
      <c r="G267" s="8" t="s">
        <v>168</v>
      </c>
      <c r="H267" s="19"/>
    </row>
    <row r="268" spans="1:8">
      <c r="A268" s="74"/>
      <c r="B268" s="74">
        <v>265</v>
      </c>
      <c r="C268" s="80" t="s">
        <v>243</v>
      </c>
      <c r="D268" s="83">
        <v>50000</v>
      </c>
      <c r="E268" s="8" t="s">
        <v>85</v>
      </c>
      <c r="F268" s="8" t="s">
        <v>93</v>
      </c>
      <c r="G268" s="8" t="s">
        <v>168</v>
      </c>
      <c r="H268" s="19"/>
    </row>
    <row r="269" spans="1:8" ht="37.5">
      <c r="A269" s="74"/>
      <c r="B269" s="74">
        <v>266</v>
      </c>
      <c r="C269" s="80" t="s">
        <v>244</v>
      </c>
      <c r="D269" s="83">
        <v>100000</v>
      </c>
      <c r="E269" s="8" t="s">
        <v>85</v>
      </c>
      <c r="F269" s="8" t="s">
        <v>93</v>
      </c>
      <c r="G269" s="8" t="s">
        <v>168</v>
      </c>
      <c r="H269" s="19"/>
    </row>
    <row r="270" spans="1:8" ht="37.5">
      <c r="A270" s="74"/>
      <c r="B270" s="74">
        <v>267</v>
      </c>
      <c r="C270" s="80" t="s">
        <v>253</v>
      </c>
      <c r="D270" s="83">
        <v>10000</v>
      </c>
      <c r="E270" s="8" t="s">
        <v>85</v>
      </c>
      <c r="F270" s="8" t="s">
        <v>93</v>
      </c>
      <c r="G270" s="8" t="s">
        <v>168</v>
      </c>
      <c r="H270" s="19"/>
    </row>
    <row r="271" spans="1:8">
      <c r="A271" s="74"/>
      <c r="B271" s="74">
        <v>268</v>
      </c>
      <c r="C271" s="80" t="s">
        <v>252</v>
      </c>
      <c r="D271" s="83">
        <v>10000</v>
      </c>
      <c r="E271" s="8" t="s">
        <v>85</v>
      </c>
      <c r="F271" s="8" t="s">
        <v>93</v>
      </c>
      <c r="G271" s="8" t="s">
        <v>168</v>
      </c>
      <c r="H271" s="19"/>
    </row>
    <row r="272" spans="1:8" ht="37.5">
      <c r="A272" s="74"/>
      <c r="B272" s="74">
        <v>269</v>
      </c>
      <c r="C272" s="80" t="s">
        <v>265</v>
      </c>
      <c r="D272" s="83">
        <v>50000</v>
      </c>
      <c r="E272" s="8" t="s">
        <v>85</v>
      </c>
      <c r="F272" s="8" t="s">
        <v>93</v>
      </c>
      <c r="G272" s="8" t="s">
        <v>78</v>
      </c>
      <c r="H272" s="19"/>
    </row>
    <row r="273" spans="1:8" ht="37.5">
      <c r="A273" s="74"/>
      <c r="B273" s="74">
        <v>270</v>
      </c>
      <c r="C273" s="80" t="s">
        <v>266</v>
      </c>
      <c r="D273" s="83">
        <v>50000</v>
      </c>
      <c r="E273" s="8" t="s">
        <v>85</v>
      </c>
      <c r="F273" s="8" t="s">
        <v>93</v>
      </c>
      <c r="G273" s="8" t="s">
        <v>78</v>
      </c>
      <c r="H273" s="19"/>
    </row>
    <row r="274" spans="1:8" ht="37.5">
      <c r="A274" s="74"/>
      <c r="B274" s="74">
        <v>271</v>
      </c>
      <c r="C274" s="80" t="s">
        <v>267</v>
      </c>
      <c r="D274" s="83">
        <v>50000</v>
      </c>
      <c r="E274" s="8" t="s">
        <v>85</v>
      </c>
      <c r="F274" s="8" t="s">
        <v>93</v>
      </c>
      <c r="G274" s="8" t="s">
        <v>78</v>
      </c>
      <c r="H274" s="19"/>
    </row>
    <row r="275" spans="1:8" ht="37.5">
      <c r="A275" s="74"/>
      <c r="B275" s="74">
        <v>272</v>
      </c>
      <c r="C275" s="80" t="s">
        <v>268</v>
      </c>
      <c r="D275" s="83">
        <v>50000</v>
      </c>
      <c r="E275" s="8" t="s">
        <v>85</v>
      </c>
      <c r="F275" s="8" t="s">
        <v>93</v>
      </c>
      <c r="G275" s="8" t="s">
        <v>78</v>
      </c>
      <c r="H275" s="19"/>
    </row>
    <row r="276" spans="1:8" ht="37.5">
      <c r="A276" s="74"/>
      <c r="B276" s="74">
        <v>273</v>
      </c>
      <c r="C276" s="80" t="s">
        <v>269</v>
      </c>
      <c r="D276" s="83">
        <v>50000</v>
      </c>
      <c r="E276" s="8" t="s">
        <v>85</v>
      </c>
      <c r="F276" s="8" t="s">
        <v>93</v>
      </c>
      <c r="G276" s="8" t="s">
        <v>78</v>
      </c>
      <c r="H276" s="19"/>
    </row>
    <row r="277" spans="1:8" ht="37.5">
      <c r="A277" s="74"/>
      <c r="B277" s="74">
        <v>274</v>
      </c>
      <c r="C277" s="80" t="s">
        <v>270</v>
      </c>
      <c r="D277" s="83">
        <v>50000</v>
      </c>
      <c r="E277" s="8" t="s">
        <v>85</v>
      </c>
      <c r="F277" s="8" t="s">
        <v>93</v>
      </c>
      <c r="G277" s="8" t="s">
        <v>78</v>
      </c>
      <c r="H277" s="19"/>
    </row>
    <row r="278" spans="1:8" ht="37.5">
      <c r="A278" s="74"/>
      <c r="B278" s="74">
        <v>275</v>
      </c>
      <c r="C278" s="80" t="s">
        <v>271</v>
      </c>
      <c r="D278" s="83">
        <v>10000</v>
      </c>
      <c r="E278" s="8" t="s">
        <v>85</v>
      </c>
      <c r="F278" s="8" t="s">
        <v>93</v>
      </c>
      <c r="G278" s="8" t="s">
        <v>78</v>
      </c>
      <c r="H278" s="19"/>
    </row>
    <row r="279" spans="1:8" ht="37.5">
      <c r="A279" s="74"/>
      <c r="B279" s="74">
        <v>276</v>
      </c>
      <c r="C279" s="80" t="s">
        <v>272</v>
      </c>
      <c r="D279" s="83">
        <v>10000</v>
      </c>
      <c r="E279" s="8" t="s">
        <v>85</v>
      </c>
      <c r="F279" s="8" t="s">
        <v>93</v>
      </c>
      <c r="G279" s="8" t="s">
        <v>78</v>
      </c>
      <c r="H279" s="19"/>
    </row>
    <row r="280" spans="1:8">
      <c r="A280" s="74"/>
      <c r="B280" s="74">
        <v>277</v>
      </c>
      <c r="C280" s="80" t="s">
        <v>273</v>
      </c>
      <c r="D280" s="83">
        <v>500000</v>
      </c>
      <c r="E280" s="8" t="s">
        <v>85</v>
      </c>
      <c r="F280" s="8" t="s">
        <v>105</v>
      </c>
      <c r="G280" s="8" t="s">
        <v>78</v>
      </c>
      <c r="H280" s="19"/>
    </row>
    <row r="281" spans="1:8">
      <c r="A281" s="74"/>
      <c r="B281" s="74">
        <v>278</v>
      </c>
      <c r="C281" s="80" t="s">
        <v>274</v>
      </c>
      <c r="D281" s="83">
        <v>10000</v>
      </c>
      <c r="E281" s="8" t="s">
        <v>85</v>
      </c>
      <c r="F281" s="8" t="s">
        <v>93</v>
      </c>
      <c r="G281" s="8" t="s">
        <v>78</v>
      </c>
      <c r="H281" s="19"/>
    </row>
    <row r="282" spans="1:8" ht="37.5">
      <c r="A282" s="74"/>
      <c r="B282" s="74">
        <v>279</v>
      </c>
      <c r="C282" s="80" t="s">
        <v>276</v>
      </c>
      <c r="D282" s="83">
        <v>20000</v>
      </c>
      <c r="E282" s="8" t="s">
        <v>85</v>
      </c>
      <c r="F282" s="8" t="s">
        <v>93</v>
      </c>
      <c r="G282" s="8" t="s">
        <v>78</v>
      </c>
      <c r="H282" s="19"/>
    </row>
    <row r="283" spans="1:8">
      <c r="A283" s="74"/>
      <c r="B283" s="74">
        <v>280</v>
      </c>
      <c r="C283" s="80" t="s">
        <v>277</v>
      </c>
      <c r="D283" s="83">
        <v>30000</v>
      </c>
      <c r="E283" s="8" t="s">
        <v>85</v>
      </c>
      <c r="F283" s="8" t="s">
        <v>93</v>
      </c>
      <c r="G283" s="8" t="s">
        <v>78</v>
      </c>
      <c r="H283" s="19"/>
    </row>
    <row r="284" spans="1:8">
      <c r="A284" s="74"/>
      <c r="B284" s="74">
        <v>281</v>
      </c>
      <c r="C284" s="80" t="s">
        <v>278</v>
      </c>
      <c r="D284" s="83">
        <v>100000</v>
      </c>
      <c r="E284" s="8" t="s">
        <v>85</v>
      </c>
      <c r="F284" s="8" t="s">
        <v>93</v>
      </c>
      <c r="G284" s="8" t="s">
        <v>78</v>
      </c>
      <c r="H284" s="19"/>
    </row>
    <row r="285" spans="1:8">
      <c r="A285" s="74"/>
      <c r="B285" s="74">
        <v>282</v>
      </c>
      <c r="C285" s="80" t="s">
        <v>279</v>
      </c>
      <c r="D285" s="83">
        <v>10000</v>
      </c>
      <c r="E285" s="8" t="s">
        <v>85</v>
      </c>
      <c r="F285" s="8" t="s">
        <v>93</v>
      </c>
      <c r="G285" s="8" t="s">
        <v>78</v>
      </c>
      <c r="H285" s="19"/>
    </row>
    <row r="286" spans="1:8" ht="37.5">
      <c r="A286" s="74"/>
      <c r="B286" s="74">
        <v>283</v>
      </c>
      <c r="C286" s="80" t="s">
        <v>280</v>
      </c>
      <c r="D286" s="83">
        <v>50000</v>
      </c>
      <c r="E286" s="8" t="s">
        <v>85</v>
      </c>
      <c r="F286" s="8" t="s">
        <v>93</v>
      </c>
      <c r="G286" s="8" t="s">
        <v>78</v>
      </c>
      <c r="H286" s="19"/>
    </row>
    <row r="287" spans="1:8">
      <c r="A287" s="74"/>
      <c r="B287" s="74">
        <v>284</v>
      </c>
      <c r="C287" s="80" t="s">
        <v>283</v>
      </c>
      <c r="D287" s="83">
        <v>200000</v>
      </c>
      <c r="E287" s="8" t="s">
        <v>85</v>
      </c>
      <c r="F287" s="8" t="s">
        <v>93</v>
      </c>
      <c r="G287" s="8" t="s">
        <v>78</v>
      </c>
      <c r="H287" s="19"/>
    </row>
    <row r="288" spans="1:8" ht="37.5">
      <c r="A288" s="74"/>
      <c r="B288" s="74">
        <v>285</v>
      </c>
      <c r="C288" s="80" t="s">
        <v>284</v>
      </c>
      <c r="D288" s="83">
        <v>50000</v>
      </c>
      <c r="E288" s="8" t="s">
        <v>85</v>
      </c>
      <c r="F288" s="8" t="s">
        <v>93</v>
      </c>
      <c r="G288" s="8" t="s">
        <v>110</v>
      </c>
      <c r="H288" s="19"/>
    </row>
    <row r="289" spans="1:8">
      <c r="A289" s="74"/>
      <c r="B289" s="74">
        <v>286</v>
      </c>
      <c r="C289" s="80" t="s">
        <v>286</v>
      </c>
      <c r="D289" s="83">
        <v>25000</v>
      </c>
      <c r="E289" s="8" t="s">
        <v>85</v>
      </c>
      <c r="F289" s="8" t="s">
        <v>93</v>
      </c>
      <c r="G289" s="8" t="s">
        <v>110</v>
      </c>
      <c r="H289" s="19"/>
    </row>
    <row r="290" spans="1:8" ht="37.5">
      <c r="A290" s="74"/>
      <c r="B290" s="74">
        <v>287</v>
      </c>
      <c r="C290" s="80" t="s">
        <v>301</v>
      </c>
      <c r="D290" s="83">
        <v>50000</v>
      </c>
      <c r="E290" s="8" t="s">
        <v>85</v>
      </c>
      <c r="F290" s="8" t="s">
        <v>93</v>
      </c>
      <c r="G290" s="8" t="s">
        <v>293</v>
      </c>
      <c r="H290" s="19"/>
    </row>
    <row r="291" spans="1:8" ht="37.5">
      <c r="A291" s="74"/>
      <c r="B291" s="74">
        <v>288</v>
      </c>
      <c r="C291" s="80" t="s">
        <v>302</v>
      </c>
      <c r="D291" s="83">
        <v>50000</v>
      </c>
      <c r="E291" s="8" t="s">
        <v>85</v>
      </c>
      <c r="F291" s="8" t="s">
        <v>93</v>
      </c>
      <c r="G291" s="8" t="s">
        <v>293</v>
      </c>
      <c r="H291" s="19"/>
    </row>
    <row r="292" spans="1:8" ht="37.5">
      <c r="A292" s="74"/>
      <c r="B292" s="74">
        <v>289</v>
      </c>
      <c r="C292" s="80" t="s">
        <v>304</v>
      </c>
      <c r="D292" s="83">
        <v>50000</v>
      </c>
      <c r="E292" s="8" t="s">
        <v>85</v>
      </c>
      <c r="F292" s="8" t="s">
        <v>93</v>
      </c>
      <c r="G292" s="8" t="s">
        <v>293</v>
      </c>
      <c r="H292" s="19"/>
    </row>
    <row r="293" spans="1:8" ht="37.5">
      <c r="A293" s="74"/>
      <c r="B293" s="74">
        <v>290</v>
      </c>
      <c r="C293" s="80" t="s">
        <v>308</v>
      </c>
      <c r="D293" s="83">
        <v>30000</v>
      </c>
      <c r="E293" s="8" t="s">
        <v>85</v>
      </c>
      <c r="F293" s="8" t="s">
        <v>93</v>
      </c>
      <c r="G293" s="8" t="s">
        <v>78</v>
      </c>
      <c r="H293" s="19"/>
    </row>
    <row r="294" spans="1:8" ht="37.5">
      <c r="A294" s="74"/>
      <c r="B294" s="74">
        <v>291</v>
      </c>
      <c r="C294" s="80" t="s">
        <v>309</v>
      </c>
      <c r="D294" s="83">
        <v>10000</v>
      </c>
      <c r="E294" s="8" t="s">
        <v>85</v>
      </c>
      <c r="F294" s="8" t="s">
        <v>93</v>
      </c>
      <c r="G294" s="8" t="s">
        <v>111</v>
      </c>
      <c r="H294" s="19"/>
    </row>
    <row r="295" spans="1:8">
      <c r="A295" s="74"/>
      <c r="B295" s="74">
        <v>292</v>
      </c>
      <c r="C295" s="80" t="s">
        <v>319</v>
      </c>
      <c r="D295" s="83">
        <v>10000</v>
      </c>
      <c r="E295" s="8" t="s">
        <v>85</v>
      </c>
      <c r="F295" s="8" t="s">
        <v>93</v>
      </c>
      <c r="G295" s="8" t="s">
        <v>311</v>
      </c>
      <c r="H295" s="19"/>
    </row>
    <row r="296" spans="1:8">
      <c r="A296" s="74"/>
      <c r="B296" s="74">
        <v>293</v>
      </c>
      <c r="C296" s="80" t="s">
        <v>320</v>
      </c>
      <c r="D296" s="83">
        <v>10000</v>
      </c>
      <c r="E296" s="8" t="s">
        <v>85</v>
      </c>
      <c r="F296" s="8" t="s">
        <v>93</v>
      </c>
      <c r="G296" s="8" t="s">
        <v>311</v>
      </c>
      <c r="H296" s="19"/>
    </row>
    <row r="297" spans="1:8">
      <c r="A297" s="74"/>
      <c r="B297" s="74">
        <v>294</v>
      </c>
      <c r="C297" s="80" t="s">
        <v>318</v>
      </c>
      <c r="D297" s="83">
        <v>10000</v>
      </c>
      <c r="E297" s="8" t="s">
        <v>85</v>
      </c>
      <c r="F297" s="8" t="s">
        <v>93</v>
      </c>
      <c r="G297" s="8" t="s">
        <v>311</v>
      </c>
      <c r="H297" s="19"/>
    </row>
    <row r="298" spans="1:8" ht="37.5">
      <c r="A298" s="74"/>
      <c r="B298" s="74">
        <v>295</v>
      </c>
      <c r="C298" s="80" t="s">
        <v>310</v>
      </c>
      <c r="D298" s="83">
        <v>10000</v>
      </c>
      <c r="E298" s="8" t="s">
        <v>85</v>
      </c>
      <c r="F298" s="8" t="s">
        <v>93</v>
      </c>
      <c r="G298" s="8" t="s">
        <v>110</v>
      </c>
      <c r="H298" s="19"/>
    </row>
    <row r="299" spans="1:8">
      <c r="A299" s="74"/>
      <c r="B299" s="74">
        <v>296</v>
      </c>
      <c r="C299" s="80" t="s">
        <v>323</v>
      </c>
      <c r="D299" s="83">
        <v>5000</v>
      </c>
      <c r="E299" s="8" t="s">
        <v>85</v>
      </c>
      <c r="F299" s="8" t="s">
        <v>93</v>
      </c>
      <c r="G299" s="8" t="s">
        <v>110</v>
      </c>
      <c r="H299" s="19"/>
    </row>
    <row r="300" spans="1:8">
      <c r="A300" s="74"/>
      <c r="B300" s="74">
        <v>297</v>
      </c>
      <c r="C300" s="80" t="s">
        <v>324</v>
      </c>
      <c r="D300" s="83">
        <v>5000</v>
      </c>
      <c r="E300" s="8" t="s">
        <v>85</v>
      </c>
      <c r="F300" s="8" t="s">
        <v>93</v>
      </c>
      <c r="G300" s="8" t="s">
        <v>325</v>
      </c>
      <c r="H300" s="19"/>
    </row>
    <row r="301" spans="1:8">
      <c r="A301" s="74"/>
      <c r="B301" s="74">
        <v>298</v>
      </c>
      <c r="C301" s="80" t="s">
        <v>326</v>
      </c>
      <c r="D301" s="83">
        <v>10000</v>
      </c>
      <c r="E301" s="8" t="s">
        <v>85</v>
      </c>
      <c r="F301" s="8" t="s">
        <v>93</v>
      </c>
      <c r="G301" s="8" t="s">
        <v>325</v>
      </c>
      <c r="H301" s="19"/>
    </row>
    <row r="302" spans="1:8" ht="37.5">
      <c r="A302" s="74"/>
      <c r="B302" s="74">
        <v>299</v>
      </c>
      <c r="C302" s="80" t="s">
        <v>327</v>
      </c>
      <c r="D302" s="83">
        <v>10000</v>
      </c>
      <c r="E302" s="8" t="s">
        <v>85</v>
      </c>
      <c r="F302" s="8" t="s">
        <v>93</v>
      </c>
      <c r="G302" s="8" t="s">
        <v>325</v>
      </c>
      <c r="H302" s="19"/>
    </row>
    <row r="303" spans="1:8" ht="37.5">
      <c r="A303" s="74"/>
      <c r="B303" s="74">
        <v>300</v>
      </c>
      <c r="C303" s="80" t="s">
        <v>330</v>
      </c>
      <c r="D303" s="83">
        <v>10000</v>
      </c>
      <c r="E303" s="8" t="s">
        <v>85</v>
      </c>
      <c r="F303" s="8" t="s">
        <v>93</v>
      </c>
      <c r="G303" s="8" t="s">
        <v>110</v>
      </c>
      <c r="H303" s="19"/>
    </row>
    <row r="304" spans="1:8" ht="37.5">
      <c r="A304" s="74"/>
      <c r="B304" s="74">
        <v>301</v>
      </c>
      <c r="C304" s="80" t="s">
        <v>331</v>
      </c>
      <c r="D304" s="83">
        <v>10000</v>
      </c>
      <c r="E304" s="8" t="s">
        <v>85</v>
      </c>
      <c r="F304" s="8" t="s">
        <v>93</v>
      </c>
      <c r="G304" s="8" t="s">
        <v>110</v>
      </c>
      <c r="H304" s="19"/>
    </row>
    <row r="305" spans="1:8">
      <c r="A305" s="74"/>
      <c r="B305" s="74">
        <v>302</v>
      </c>
      <c r="C305" s="80" t="s">
        <v>41</v>
      </c>
      <c r="D305" s="83">
        <v>10000</v>
      </c>
      <c r="E305" s="8" t="s">
        <v>85</v>
      </c>
      <c r="F305" s="8" t="s">
        <v>93</v>
      </c>
      <c r="G305" s="8" t="s">
        <v>110</v>
      </c>
      <c r="H305" s="19"/>
    </row>
    <row r="306" spans="1:8">
      <c r="A306" s="74"/>
      <c r="B306" s="74">
        <v>303</v>
      </c>
      <c r="C306" s="80" t="s">
        <v>43</v>
      </c>
      <c r="D306" s="83">
        <v>10000</v>
      </c>
      <c r="E306" s="8" t="s">
        <v>85</v>
      </c>
      <c r="F306" s="8" t="s">
        <v>93</v>
      </c>
      <c r="G306" s="8" t="s">
        <v>110</v>
      </c>
      <c r="H306" s="19"/>
    </row>
    <row r="307" spans="1:8">
      <c r="A307" s="74"/>
      <c r="B307" s="74">
        <v>304</v>
      </c>
      <c r="C307" s="80" t="s">
        <v>44</v>
      </c>
      <c r="D307" s="83">
        <v>10000</v>
      </c>
      <c r="E307" s="8" t="s">
        <v>85</v>
      </c>
      <c r="F307" s="8" t="s">
        <v>93</v>
      </c>
      <c r="G307" s="8" t="s">
        <v>110</v>
      </c>
      <c r="H307" s="19"/>
    </row>
    <row r="308" spans="1:8">
      <c r="A308" s="74"/>
      <c r="B308" s="74">
        <v>305</v>
      </c>
      <c r="C308" s="80" t="s">
        <v>50</v>
      </c>
      <c r="D308" s="83">
        <v>50000</v>
      </c>
      <c r="E308" s="8" t="s">
        <v>85</v>
      </c>
      <c r="F308" s="8" t="s">
        <v>93</v>
      </c>
      <c r="G308" s="8" t="s">
        <v>110</v>
      </c>
      <c r="H308" s="19"/>
    </row>
    <row r="309" spans="1:8" ht="37.5">
      <c r="A309" s="74"/>
      <c r="B309" s="74">
        <v>306</v>
      </c>
      <c r="C309" s="80" t="s">
        <v>51</v>
      </c>
      <c r="D309" s="83">
        <v>20000</v>
      </c>
      <c r="E309" s="8" t="s">
        <v>85</v>
      </c>
      <c r="F309" s="8" t="s">
        <v>93</v>
      </c>
      <c r="G309" s="8" t="s">
        <v>110</v>
      </c>
      <c r="H309" s="19"/>
    </row>
  </sheetData>
  <mergeCells count="1">
    <mergeCell ref="A1:H1"/>
  </mergeCells>
  <phoneticPr fontId="0" type="noConversion"/>
  <pageMargins left="0.43307086614173229" right="0.43307086614173229" top="0.8" bottom="0.22" header="0.51181102362204722" footer="0.12"/>
  <pageSetup paperSize="9" orientation="landscape" horizontalDpi="300" r:id="rId1"/>
  <headerFooter alignWithMargins="0">
    <oddHeader>&amp;Rแผ่นที่ 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9"/>
  <sheetViews>
    <sheetView view="pageBreakPreview" zoomScale="125" zoomScaleNormal="100" zoomScaleSheetLayoutView="125" workbookViewId="0">
      <selection activeCell="B9" sqref="B9"/>
    </sheetView>
  </sheetViews>
  <sheetFormatPr defaultRowHeight="18.75"/>
  <cols>
    <col min="1" max="1" width="5.85546875" style="43" customWidth="1"/>
    <col min="2" max="2" width="26.5703125" style="43" customWidth="1"/>
    <col min="3" max="3" width="10.7109375" style="43" customWidth="1"/>
    <col min="4" max="4" width="10.85546875" style="43" customWidth="1"/>
    <col min="5" max="6" width="16.7109375" style="182" customWidth="1"/>
    <col min="7" max="7" width="18" style="182" customWidth="1"/>
    <col min="8" max="8" width="16.7109375" style="43" customWidth="1"/>
    <col min="9" max="9" width="18.7109375" style="182" customWidth="1"/>
    <col min="10" max="10" width="8.28515625" style="43" customWidth="1"/>
    <col min="11" max="16384" width="9.140625" style="43"/>
  </cols>
  <sheetData>
    <row r="1" spans="1:27">
      <c r="J1" s="86" t="s">
        <v>126</v>
      </c>
    </row>
    <row r="2" spans="1:27">
      <c r="A2" s="324" t="s">
        <v>497</v>
      </c>
      <c r="B2" s="324"/>
      <c r="C2" s="324"/>
      <c r="D2" s="324"/>
      <c r="E2" s="324"/>
      <c r="F2" s="324"/>
      <c r="G2" s="324"/>
      <c r="H2" s="324"/>
      <c r="I2" s="324"/>
      <c r="J2" s="324"/>
      <c r="K2" s="269"/>
    </row>
    <row r="3" spans="1:27">
      <c r="A3" s="324" t="s">
        <v>159</v>
      </c>
      <c r="B3" s="324"/>
      <c r="C3" s="324"/>
      <c r="D3" s="324"/>
      <c r="E3" s="324"/>
      <c r="F3" s="324"/>
      <c r="G3" s="324"/>
      <c r="H3" s="324"/>
      <c r="I3" s="324"/>
      <c r="J3" s="324"/>
      <c r="K3" s="269"/>
    </row>
    <row r="5" spans="1:27" s="89" customFormat="1">
      <c r="A5" s="87" t="s">
        <v>116</v>
      </c>
      <c r="B5" s="87" t="s">
        <v>127</v>
      </c>
      <c r="C5" s="87" t="s">
        <v>128</v>
      </c>
      <c r="D5" s="87" t="s">
        <v>129</v>
      </c>
      <c r="E5" s="183" t="s">
        <v>130</v>
      </c>
      <c r="F5" s="184" t="s">
        <v>131</v>
      </c>
      <c r="G5" s="183" t="s">
        <v>132</v>
      </c>
      <c r="H5" s="87" t="s">
        <v>133</v>
      </c>
      <c r="I5" s="184" t="s">
        <v>134</v>
      </c>
      <c r="J5" s="87" t="s">
        <v>91</v>
      </c>
      <c r="K5" s="88"/>
    </row>
    <row r="6" spans="1:27" s="89" customFormat="1">
      <c r="A6" s="90"/>
      <c r="B6" s="90"/>
      <c r="C6" s="90" t="s">
        <v>135</v>
      </c>
      <c r="D6" s="90"/>
      <c r="E6" s="185" t="s">
        <v>136</v>
      </c>
      <c r="F6" s="186" t="s">
        <v>136</v>
      </c>
      <c r="G6" s="185"/>
      <c r="H6" s="90" t="s">
        <v>137</v>
      </c>
      <c r="I6" s="186" t="s">
        <v>136</v>
      </c>
      <c r="J6" s="90"/>
      <c r="K6" s="88"/>
    </row>
    <row r="7" spans="1:27" s="3" customFormat="1" ht="75">
      <c r="A7" s="232">
        <v>1</v>
      </c>
      <c r="B7" s="236" t="s">
        <v>654</v>
      </c>
      <c r="C7" s="233">
        <v>1</v>
      </c>
      <c r="D7" s="199" t="s">
        <v>391</v>
      </c>
      <c r="E7" s="234">
        <v>42641</v>
      </c>
      <c r="F7" s="235">
        <v>42660</v>
      </c>
      <c r="G7" s="234">
        <v>42696</v>
      </c>
      <c r="H7" s="231">
        <v>180</v>
      </c>
      <c r="I7" s="235">
        <v>42875</v>
      </c>
      <c r="J7" s="19"/>
    </row>
    <row r="8" spans="1:27" s="3" customFormat="1" ht="75">
      <c r="A8" s="6">
        <v>2</v>
      </c>
      <c r="B8" s="80" t="s">
        <v>653</v>
      </c>
      <c r="C8" s="7">
        <v>2</v>
      </c>
      <c r="D8" s="33" t="s">
        <v>391</v>
      </c>
      <c r="E8" s="237">
        <v>42641</v>
      </c>
      <c r="F8" s="238">
        <v>42660</v>
      </c>
      <c r="G8" s="237">
        <v>42696</v>
      </c>
      <c r="H8" s="8">
        <v>180</v>
      </c>
      <c r="I8" s="238">
        <v>42875</v>
      </c>
      <c r="J8" s="19"/>
    </row>
    <row r="9" spans="1:27" s="3" customFormat="1" ht="37.5">
      <c r="A9" s="19">
        <v>3</v>
      </c>
      <c r="B9" s="19" t="s">
        <v>655</v>
      </c>
      <c r="C9" s="8">
        <v>21</v>
      </c>
      <c r="D9" s="8" t="s">
        <v>93</v>
      </c>
      <c r="E9" s="238" t="s">
        <v>92</v>
      </c>
      <c r="F9" s="238" t="s">
        <v>92</v>
      </c>
      <c r="G9" s="238">
        <v>42674</v>
      </c>
      <c r="H9" s="8">
        <v>15</v>
      </c>
      <c r="I9" s="270">
        <v>42689</v>
      </c>
      <c r="J9" s="19"/>
    </row>
    <row r="10" spans="1:27">
      <c r="A10" s="39"/>
      <c r="B10" s="39"/>
      <c r="C10" s="39"/>
      <c r="D10" s="39"/>
      <c r="E10" s="187"/>
      <c r="F10" s="187"/>
      <c r="G10" s="187"/>
      <c r="H10" s="39"/>
      <c r="I10" s="187"/>
      <c r="J10" s="39"/>
    </row>
    <row r="11" spans="1:27">
      <c r="A11" s="39"/>
      <c r="B11" s="39"/>
      <c r="C11" s="39"/>
      <c r="D11" s="39"/>
      <c r="E11" s="187"/>
      <c r="F11" s="187"/>
      <c r="G11" s="187"/>
      <c r="H11" s="39"/>
      <c r="I11" s="187"/>
      <c r="J11" s="39"/>
    </row>
    <row r="12" spans="1:27" s="47" customFormat="1" ht="15.75">
      <c r="A12" s="50"/>
      <c r="B12" s="45" t="s">
        <v>406</v>
      </c>
      <c r="C12" s="115"/>
      <c r="D12" s="45"/>
      <c r="E12" s="194" t="s">
        <v>407</v>
      </c>
      <c r="F12" s="194"/>
      <c r="G12" s="194"/>
      <c r="H12" s="47" t="s">
        <v>408</v>
      </c>
      <c r="I12" s="194"/>
      <c r="N12" s="335"/>
      <c r="O12" s="335"/>
      <c r="P12" s="335"/>
      <c r="Q12" s="335"/>
      <c r="R12" s="116"/>
      <c r="S12" s="117"/>
      <c r="T12" s="118"/>
      <c r="U12" s="116"/>
      <c r="V12" s="116"/>
      <c r="W12" s="116"/>
      <c r="X12" s="116"/>
      <c r="Y12" s="116"/>
      <c r="Z12" s="116"/>
      <c r="AA12" s="116"/>
    </row>
    <row r="13" spans="1:27" s="47" customFormat="1" ht="15.75">
      <c r="A13" s="50"/>
      <c r="B13" s="45" t="s">
        <v>342</v>
      </c>
      <c r="C13" s="115"/>
      <c r="D13" s="45"/>
      <c r="E13" s="194" t="s">
        <v>75</v>
      </c>
      <c r="F13" s="194"/>
      <c r="G13" s="194"/>
      <c r="H13" s="47" t="s">
        <v>75</v>
      </c>
      <c r="I13" s="194"/>
      <c r="N13" s="335"/>
      <c r="O13" s="335"/>
      <c r="P13" s="335"/>
      <c r="Q13" s="335"/>
      <c r="R13" s="116"/>
      <c r="S13" s="117"/>
      <c r="T13" s="118"/>
      <c r="U13" s="116"/>
      <c r="V13" s="116"/>
      <c r="W13" s="116"/>
      <c r="X13" s="116"/>
      <c r="Y13" s="116"/>
      <c r="Z13" s="116"/>
      <c r="AA13" s="116"/>
    </row>
    <row r="14" spans="1:27" s="47" customFormat="1" ht="15.75">
      <c r="A14" s="45"/>
      <c r="B14" s="45" t="s">
        <v>516</v>
      </c>
      <c r="C14" s="117"/>
      <c r="D14" s="45"/>
      <c r="E14" s="195" t="s">
        <v>343</v>
      </c>
      <c r="F14" s="194"/>
      <c r="G14" s="194"/>
      <c r="H14" s="48" t="s">
        <v>74</v>
      </c>
      <c r="I14" s="194"/>
      <c r="N14" s="335"/>
      <c r="O14" s="335"/>
      <c r="P14" s="335"/>
      <c r="Q14" s="335"/>
      <c r="R14" s="45"/>
      <c r="S14" s="117"/>
      <c r="T14" s="118"/>
    </row>
    <row r="15" spans="1:27" s="45" customFormat="1" ht="15.75">
      <c r="B15" s="45" t="s">
        <v>345</v>
      </c>
      <c r="E15" s="196" t="s">
        <v>409</v>
      </c>
      <c r="F15" s="196"/>
      <c r="G15" s="196"/>
      <c r="I15" s="196"/>
    </row>
    <row r="16" spans="1:27" s="45" customFormat="1" ht="15.75">
      <c r="E16" s="196"/>
      <c r="F16" s="196"/>
      <c r="G16" s="196"/>
      <c r="I16" s="196"/>
    </row>
    <row r="17" spans="1:11" s="45" customFormat="1" ht="15.75">
      <c r="E17" s="196"/>
      <c r="F17" s="196"/>
      <c r="G17" s="196"/>
      <c r="I17" s="196"/>
    </row>
    <row r="18" spans="1:11" s="45" customFormat="1" ht="15.75">
      <c r="E18" s="196"/>
      <c r="F18" s="196"/>
      <c r="G18" s="196"/>
      <c r="I18" s="196"/>
    </row>
    <row r="19" spans="1:11" s="45" customFormat="1" ht="15.75">
      <c r="E19" s="196"/>
      <c r="F19" s="196"/>
      <c r="G19" s="196"/>
      <c r="I19" s="196"/>
    </row>
    <row r="20" spans="1:11" s="45" customFormat="1" ht="15.75">
      <c r="E20" s="196"/>
      <c r="F20" s="196"/>
      <c r="G20" s="196"/>
      <c r="I20" s="196"/>
    </row>
    <row r="21" spans="1:11">
      <c r="A21" s="324" t="s">
        <v>347</v>
      </c>
      <c r="B21" s="324"/>
      <c r="C21" s="324"/>
      <c r="D21" s="324"/>
      <c r="E21" s="324"/>
      <c r="F21" s="324"/>
      <c r="G21" s="324"/>
      <c r="H21" s="324"/>
      <c r="I21" s="324"/>
      <c r="J21" s="324"/>
      <c r="K21" s="324"/>
    </row>
    <row r="22" spans="1:11">
      <c r="A22" s="324" t="s">
        <v>138</v>
      </c>
      <c r="B22" s="324"/>
      <c r="C22" s="324"/>
      <c r="D22" s="324"/>
      <c r="E22" s="324"/>
      <c r="F22" s="324"/>
      <c r="G22" s="324"/>
      <c r="H22" s="324"/>
      <c r="I22" s="324"/>
      <c r="J22" s="324"/>
      <c r="K22" s="324"/>
    </row>
    <row r="24" spans="1:11" s="89" customFormat="1">
      <c r="A24" s="350" t="s">
        <v>116</v>
      </c>
      <c r="B24" s="350" t="s">
        <v>127</v>
      </c>
      <c r="C24" s="87" t="s">
        <v>128</v>
      </c>
      <c r="D24" s="350" t="s">
        <v>129</v>
      </c>
      <c r="E24" s="183" t="s">
        <v>130</v>
      </c>
      <c r="F24" s="184" t="s">
        <v>131</v>
      </c>
      <c r="G24" s="352" t="s">
        <v>132</v>
      </c>
      <c r="H24" s="87" t="s">
        <v>133</v>
      </c>
      <c r="I24" s="184" t="s">
        <v>134</v>
      </c>
      <c r="J24" s="350" t="s">
        <v>91</v>
      </c>
      <c r="K24" s="88"/>
    </row>
    <row r="25" spans="1:11" s="89" customFormat="1">
      <c r="A25" s="351"/>
      <c r="B25" s="351"/>
      <c r="C25" s="90" t="s">
        <v>167</v>
      </c>
      <c r="D25" s="351"/>
      <c r="E25" s="185" t="s">
        <v>136</v>
      </c>
      <c r="F25" s="186" t="s">
        <v>136</v>
      </c>
      <c r="G25" s="353"/>
      <c r="H25" s="90" t="s">
        <v>137</v>
      </c>
      <c r="I25" s="186" t="s">
        <v>136</v>
      </c>
      <c r="J25" s="351"/>
      <c r="K25" s="88"/>
    </row>
    <row r="26" spans="1:11" s="31" customFormat="1">
      <c r="A26" s="96"/>
      <c r="B26" s="96" t="s">
        <v>349</v>
      </c>
      <c r="C26" s="97" t="s">
        <v>92</v>
      </c>
      <c r="D26" s="97" t="s">
        <v>92</v>
      </c>
      <c r="E26" s="130" t="s">
        <v>92</v>
      </c>
      <c r="F26" s="130" t="s">
        <v>92</v>
      </c>
      <c r="G26" s="130" t="s">
        <v>92</v>
      </c>
      <c r="H26" s="97" t="s">
        <v>92</v>
      </c>
      <c r="I26" s="130" t="s">
        <v>92</v>
      </c>
      <c r="J26" s="98"/>
    </row>
    <row r="27" spans="1:11" s="20" customFormat="1">
      <c r="A27" s="99"/>
      <c r="B27" s="59"/>
      <c r="C27" s="100"/>
      <c r="D27" s="101"/>
      <c r="E27" s="102"/>
      <c r="F27" s="102"/>
      <c r="G27" s="102"/>
      <c r="H27" s="103"/>
      <c r="I27" s="102"/>
      <c r="J27" s="104"/>
    </row>
    <row r="28" spans="1:11">
      <c r="A28" s="105"/>
      <c r="B28" s="106"/>
      <c r="C28" s="107"/>
      <c r="D28" s="108"/>
      <c r="E28" s="188"/>
      <c r="F28" s="189"/>
      <c r="G28" s="188"/>
      <c r="H28" s="108"/>
      <c r="I28" s="189"/>
      <c r="J28" s="109"/>
    </row>
    <row r="29" spans="1:11">
      <c r="A29" s="105"/>
      <c r="B29" s="106"/>
      <c r="C29" s="107"/>
      <c r="D29" s="108"/>
      <c r="E29" s="188"/>
      <c r="F29" s="189"/>
      <c r="G29" s="188"/>
      <c r="H29" s="108"/>
      <c r="I29" s="189"/>
      <c r="J29" s="109"/>
    </row>
    <row r="30" spans="1:11">
      <c r="A30" s="110"/>
      <c r="B30" s="106"/>
      <c r="C30" s="107"/>
      <c r="D30" s="106"/>
      <c r="E30" s="190"/>
      <c r="F30" s="191"/>
      <c r="G30" s="190"/>
      <c r="H30" s="106"/>
      <c r="I30" s="191"/>
      <c r="J30" s="109"/>
    </row>
    <row r="31" spans="1:11">
      <c r="A31" s="111"/>
      <c r="B31" s="112"/>
      <c r="C31" s="113"/>
      <c r="D31" s="112"/>
      <c r="E31" s="192"/>
      <c r="F31" s="193"/>
      <c r="G31" s="192"/>
      <c r="H31" s="112"/>
      <c r="I31" s="193"/>
      <c r="J31" s="114"/>
    </row>
    <row r="35" spans="1:27" s="47" customFormat="1" ht="15.75">
      <c r="A35" s="50"/>
      <c r="B35" s="45" t="s">
        <v>406</v>
      </c>
      <c r="C35" s="115"/>
      <c r="D35" s="45"/>
      <c r="E35" s="194" t="s">
        <v>407</v>
      </c>
      <c r="F35" s="194"/>
      <c r="G35" s="194"/>
      <c r="H35" s="47" t="s">
        <v>408</v>
      </c>
      <c r="I35" s="194"/>
      <c r="N35" s="335"/>
      <c r="O35" s="335"/>
      <c r="P35" s="335"/>
      <c r="Q35" s="335"/>
      <c r="R35" s="116"/>
      <c r="S35" s="117"/>
      <c r="T35" s="118"/>
      <c r="U35" s="116"/>
      <c r="V35" s="116"/>
      <c r="W35" s="116"/>
      <c r="X35" s="116"/>
      <c r="Y35" s="116"/>
      <c r="Z35" s="116"/>
      <c r="AA35" s="116"/>
    </row>
    <row r="36" spans="1:27" s="47" customFormat="1" ht="15.75">
      <c r="A36" s="50"/>
      <c r="B36" s="45" t="s">
        <v>342</v>
      </c>
      <c r="C36" s="115"/>
      <c r="D36" s="45"/>
      <c r="E36" s="194" t="s">
        <v>75</v>
      </c>
      <c r="F36" s="194"/>
      <c r="G36" s="194"/>
      <c r="H36" s="47" t="s">
        <v>75</v>
      </c>
      <c r="I36" s="194"/>
      <c r="N36" s="335"/>
      <c r="O36" s="335"/>
      <c r="P36" s="335"/>
      <c r="Q36" s="335"/>
      <c r="R36" s="116"/>
      <c r="S36" s="117"/>
      <c r="T36" s="118"/>
      <c r="U36" s="116"/>
      <c r="V36" s="116"/>
      <c r="W36" s="116"/>
      <c r="X36" s="116"/>
      <c r="Y36" s="116"/>
      <c r="Z36" s="116"/>
      <c r="AA36" s="116"/>
    </row>
    <row r="37" spans="1:27" s="47" customFormat="1" ht="15.75">
      <c r="A37" s="45"/>
      <c r="B37" s="45" t="s">
        <v>344</v>
      </c>
      <c r="C37" s="117"/>
      <c r="D37" s="45"/>
      <c r="E37" s="195" t="s">
        <v>343</v>
      </c>
      <c r="F37" s="194"/>
      <c r="G37" s="194"/>
      <c r="H37" s="48" t="s">
        <v>74</v>
      </c>
      <c r="I37" s="194"/>
      <c r="N37" s="335"/>
      <c r="O37" s="335"/>
      <c r="P37" s="335"/>
      <c r="Q37" s="335"/>
      <c r="R37" s="45"/>
      <c r="S37" s="117"/>
      <c r="T37" s="118"/>
    </row>
    <row r="38" spans="1:27" s="45" customFormat="1" ht="15.75">
      <c r="B38" s="45" t="s">
        <v>345</v>
      </c>
      <c r="E38" s="196" t="s">
        <v>409</v>
      </c>
      <c r="F38" s="196"/>
      <c r="G38" s="196"/>
      <c r="I38" s="196"/>
    </row>
    <row r="39" spans="1:27" s="54" customFormat="1" ht="15.75">
      <c r="B39" s="45"/>
      <c r="E39" s="197"/>
      <c r="F39" s="198"/>
      <c r="G39" s="197"/>
      <c r="I39" s="197"/>
    </row>
  </sheetData>
  <mergeCells count="15">
    <mergeCell ref="N12:Q12"/>
    <mergeCell ref="N13:Q13"/>
    <mergeCell ref="A21:K21"/>
    <mergeCell ref="A22:K22"/>
    <mergeCell ref="A2:J2"/>
    <mergeCell ref="A3:J3"/>
    <mergeCell ref="N14:Q14"/>
    <mergeCell ref="N35:Q35"/>
    <mergeCell ref="N36:Q36"/>
    <mergeCell ref="N37:Q37"/>
    <mergeCell ref="J24:J25"/>
    <mergeCell ref="A24:A25"/>
    <mergeCell ref="B24:B25"/>
    <mergeCell ref="D24:D25"/>
    <mergeCell ref="G24:G25"/>
  </mergeCells>
  <phoneticPr fontId="0" type="noConversion"/>
  <pageMargins left="7.874015748031496E-2" right="3.937007874015748E-2" top="0.98425196850393704" bottom="0.98425196850393704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1"/>
  <sheetViews>
    <sheetView view="pageBreakPreview" zoomScale="125" zoomScaleNormal="125" zoomScaleSheetLayoutView="125" workbookViewId="0">
      <selection activeCell="E17" sqref="E17"/>
    </sheetView>
  </sheetViews>
  <sheetFormatPr defaultRowHeight="15.75"/>
  <cols>
    <col min="1" max="1" width="4.28515625" style="54" customWidth="1"/>
    <col min="2" max="2" width="21.85546875" style="54" customWidth="1"/>
    <col min="3" max="3" width="12.5703125" style="54" customWidth="1"/>
    <col min="4" max="4" width="2.7109375" style="54" customWidth="1"/>
    <col min="5" max="5" width="13.28515625" style="54" customWidth="1"/>
    <col min="6" max="6" width="2.7109375" style="54" customWidth="1"/>
    <col min="7" max="7" width="10.140625" style="54" customWidth="1"/>
    <col min="8" max="9" width="13.85546875" style="54" bestFit="1" customWidth="1"/>
    <col min="10" max="10" width="2.7109375" style="54" customWidth="1"/>
    <col min="11" max="11" width="11.140625" style="54" customWidth="1"/>
    <col min="12" max="12" width="14.5703125" style="54" customWidth="1"/>
    <col min="13" max="13" width="2.7109375" style="54" customWidth="1"/>
    <col min="14" max="14" width="12.140625" style="54" customWidth="1"/>
    <col min="15" max="15" width="8.28515625" style="54" customWidth="1"/>
    <col min="16" max="16384" width="9.140625" style="54"/>
  </cols>
  <sheetData>
    <row r="1" spans="1:27">
      <c r="A1" s="354" t="s">
        <v>500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</row>
    <row r="2" spans="1:27">
      <c r="A2" s="45" t="s">
        <v>106</v>
      </c>
      <c r="F2" s="45"/>
      <c r="G2" s="45" t="s">
        <v>107</v>
      </c>
      <c r="I2" s="45"/>
      <c r="J2" s="45"/>
      <c r="K2" s="45"/>
      <c r="L2" s="55"/>
      <c r="O2" s="55" t="s">
        <v>503</v>
      </c>
    </row>
    <row r="3" spans="1:27">
      <c r="A3" s="45" t="s">
        <v>106</v>
      </c>
      <c r="F3" s="120" t="s">
        <v>501</v>
      </c>
      <c r="G3" s="120"/>
      <c r="H3" s="120"/>
      <c r="I3" s="120"/>
      <c r="J3" s="120"/>
      <c r="K3" s="120"/>
      <c r="M3" s="55"/>
      <c r="O3" s="55" t="s">
        <v>231</v>
      </c>
    </row>
    <row r="5" spans="1:27" s="119" customFormat="1">
      <c r="A5" s="121" t="s">
        <v>83</v>
      </c>
      <c r="B5" s="122" t="s">
        <v>139</v>
      </c>
      <c r="C5" s="355" t="s">
        <v>140</v>
      </c>
      <c r="D5" s="356"/>
      <c r="E5" s="355" t="s">
        <v>141</v>
      </c>
      <c r="F5" s="356"/>
      <c r="G5" s="357" t="s">
        <v>142</v>
      </c>
      <c r="H5" s="358"/>
      <c r="I5" s="358"/>
      <c r="J5" s="359"/>
      <c r="K5" s="122" t="s">
        <v>143</v>
      </c>
      <c r="L5" s="355" t="s">
        <v>134</v>
      </c>
      <c r="M5" s="356"/>
      <c r="N5" s="360" t="s">
        <v>340</v>
      </c>
      <c r="O5" s="363" t="s">
        <v>339</v>
      </c>
    </row>
    <row r="6" spans="1:27" s="119" customFormat="1">
      <c r="A6" s="123"/>
      <c r="B6" s="124" t="s">
        <v>144</v>
      </c>
      <c r="C6" s="122" t="s">
        <v>145</v>
      </c>
      <c r="D6" s="125" t="s">
        <v>125</v>
      </c>
      <c r="E6" s="122" t="s">
        <v>145</v>
      </c>
      <c r="F6" s="125" t="s">
        <v>125</v>
      </c>
      <c r="G6" s="122" t="s">
        <v>146</v>
      </c>
      <c r="H6" s="122" t="s">
        <v>147</v>
      </c>
      <c r="I6" s="122" t="s">
        <v>148</v>
      </c>
      <c r="J6" s="126" t="s">
        <v>125</v>
      </c>
      <c r="K6" s="124" t="s">
        <v>87</v>
      </c>
      <c r="L6" s="122" t="s">
        <v>145</v>
      </c>
      <c r="M6" s="125" t="s">
        <v>125</v>
      </c>
      <c r="N6" s="361"/>
      <c r="O6" s="364"/>
    </row>
    <row r="7" spans="1:27" s="119" customFormat="1">
      <c r="A7" s="127"/>
      <c r="B7" s="128"/>
      <c r="C7" s="128"/>
      <c r="D7" s="128" t="s">
        <v>149</v>
      </c>
      <c r="E7" s="128"/>
      <c r="F7" s="128" t="s">
        <v>149</v>
      </c>
      <c r="G7" s="127"/>
      <c r="H7" s="128"/>
      <c r="I7" s="128"/>
      <c r="J7" s="128" t="s">
        <v>149</v>
      </c>
      <c r="K7" s="128"/>
      <c r="L7" s="128"/>
      <c r="M7" s="128" t="s">
        <v>149</v>
      </c>
      <c r="N7" s="362"/>
      <c r="O7" s="365"/>
    </row>
    <row r="8" spans="1:27" s="63" customFormat="1" ht="93.75">
      <c r="A8" s="201" t="s">
        <v>336</v>
      </c>
      <c r="B8" s="236" t="s">
        <v>498</v>
      </c>
      <c r="C8" s="202">
        <v>42650</v>
      </c>
      <c r="D8" s="203" t="s">
        <v>125</v>
      </c>
      <c r="E8" s="202">
        <v>42660</v>
      </c>
      <c r="F8" s="204" t="s">
        <v>125</v>
      </c>
      <c r="G8" s="205" t="s">
        <v>506</v>
      </c>
      <c r="H8" s="202">
        <v>42695</v>
      </c>
      <c r="I8" s="202">
        <v>42875</v>
      </c>
      <c r="J8" s="204" t="s">
        <v>125</v>
      </c>
      <c r="K8" s="285">
        <v>2458000</v>
      </c>
      <c r="L8" s="202"/>
      <c r="M8" s="203" t="s">
        <v>125</v>
      </c>
      <c r="N8" s="283">
        <f>2788000-2425042</f>
        <v>362958</v>
      </c>
      <c r="O8" s="38" t="s">
        <v>92</v>
      </c>
    </row>
    <row r="9" spans="1:27" ht="93.75">
      <c r="A9" s="200" t="s">
        <v>338</v>
      </c>
      <c r="B9" s="80" t="s">
        <v>499</v>
      </c>
      <c r="C9" s="202">
        <v>42650</v>
      </c>
      <c r="D9" s="203" t="s">
        <v>125</v>
      </c>
      <c r="E9" s="202">
        <v>42660</v>
      </c>
      <c r="F9" s="204" t="s">
        <v>125</v>
      </c>
      <c r="G9" s="205" t="s">
        <v>507</v>
      </c>
      <c r="H9" s="202">
        <v>42695</v>
      </c>
      <c r="I9" s="202">
        <v>42875</v>
      </c>
      <c r="J9" s="204" t="s">
        <v>125</v>
      </c>
      <c r="K9" s="285">
        <v>2380000</v>
      </c>
      <c r="L9" s="202"/>
      <c r="M9" s="203" t="s">
        <v>125</v>
      </c>
      <c r="N9" s="283">
        <f>2788000-2347042</f>
        <v>440958</v>
      </c>
      <c r="O9" s="38" t="s">
        <v>92</v>
      </c>
    </row>
    <row r="10" spans="1:27" s="63" customFormat="1" ht="56.25">
      <c r="A10" s="207">
        <v>3</v>
      </c>
      <c r="B10" s="19" t="s">
        <v>655</v>
      </c>
      <c r="C10" s="202"/>
      <c r="D10" s="203" t="s">
        <v>149</v>
      </c>
      <c r="E10" s="202"/>
      <c r="F10" s="38" t="s">
        <v>149</v>
      </c>
      <c r="G10" s="201" t="s">
        <v>657</v>
      </c>
      <c r="H10" s="202">
        <v>43036</v>
      </c>
      <c r="I10" s="202">
        <v>43051</v>
      </c>
      <c r="J10" s="204" t="s">
        <v>125</v>
      </c>
      <c r="K10" s="284">
        <v>120000</v>
      </c>
      <c r="L10" s="202">
        <v>42684</v>
      </c>
      <c r="M10" s="203" t="s">
        <v>125</v>
      </c>
      <c r="N10" s="284">
        <v>10000</v>
      </c>
      <c r="O10" s="38" t="s">
        <v>92</v>
      </c>
    </row>
    <row r="14" spans="1:27" s="49" customFormat="1">
      <c r="A14" s="44"/>
      <c r="B14" s="45" t="s">
        <v>406</v>
      </c>
      <c r="C14" s="46"/>
      <c r="D14" s="45"/>
      <c r="E14" s="47" t="s">
        <v>407</v>
      </c>
      <c r="I14" s="47"/>
      <c r="J14" s="47" t="s">
        <v>408</v>
      </c>
      <c r="K14" s="47"/>
      <c r="L14" s="47"/>
      <c r="M14" s="47"/>
      <c r="N14" s="335"/>
      <c r="O14" s="335"/>
      <c r="P14" s="335"/>
      <c r="Q14" s="335"/>
      <c r="R14" s="51"/>
      <c r="S14" s="52"/>
      <c r="T14" s="53"/>
      <c r="U14" s="51"/>
      <c r="V14" s="51"/>
      <c r="W14" s="51"/>
      <c r="X14" s="51"/>
      <c r="Y14" s="51"/>
      <c r="Z14" s="51"/>
      <c r="AA14" s="51"/>
    </row>
    <row r="15" spans="1:27" s="49" customFormat="1">
      <c r="A15" s="44"/>
      <c r="B15" s="45" t="s">
        <v>342</v>
      </c>
      <c r="C15" s="46"/>
      <c r="D15" s="45"/>
      <c r="E15" s="47" t="s">
        <v>75</v>
      </c>
      <c r="I15" s="47"/>
      <c r="J15" s="47" t="s">
        <v>75</v>
      </c>
      <c r="K15" s="47"/>
      <c r="L15" s="47"/>
      <c r="M15" s="47"/>
      <c r="N15" s="335"/>
      <c r="O15" s="335"/>
      <c r="P15" s="335"/>
      <c r="Q15" s="335"/>
      <c r="R15" s="51"/>
      <c r="S15" s="52"/>
      <c r="T15" s="53"/>
      <c r="U15" s="51"/>
      <c r="V15" s="51"/>
      <c r="W15" s="51"/>
      <c r="X15" s="51"/>
      <c r="Y15" s="51"/>
      <c r="Z15" s="51"/>
      <c r="AA15" s="51"/>
    </row>
    <row r="16" spans="1:27" s="49" customFormat="1">
      <c r="A16" s="54"/>
      <c r="B16" s="45" t="s">
        <v>660</v>
      </c>
      <c r="C16" s="52"/>
      <c r="D16" s="45"/>
      <c r="E16" s="48" t="s">
        <v>668</v>
      </c>
      <c r="J16" s="48" t="s">
        <v>74</v>
      </c>
      <c r="N16" s="335"/>
      <c r="O16" s="335"/>
      <c r="P16" s="335"/>
      <c r="Q16" s="335"/>
      <c r="R16" s="54"/>
      <c r="S16" s="52"/>
      <c r="T16" s="53"/>
    </row>
    <row r="17" spans="1:15">
      <c r="B17" s="54" t="s">
        <v>345</v>
      </c>
      <c r="E17" s="45" t="s">
        <v>667</v>
      </c>
    </row>
    <row r="20" spans="1:15">
      <c r="A20" s="354" t="s">
        <v>410</v>
      </c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</row>
    <row r="21" spans="1:15">
      <c r="A21" s="45" t="s">
        <v>106</v>
      </c>
      <c r="F21" s="45"/>
      <c r="G21" s="45" t="s">
        <v>107</v>
      </c>
      <c r="I21" s="45"/>
      <c r="J21" s="45"/>
      <c r="K21" s="45"/>
      <c r="L21" s="55"/>
      <c r="O21" s="55" t="s">
        <v>504</v>
      </c>
    </row>
    <row r="22" spans="1:15">
      <c r="A22" s="45" t="s">
        <v>106</v>
      </c>
      <c r="F22" s="120" t="s">
        <v>502</v>
      </c>
      <c r="G22" s="120"/>
      <c r="H22" s="120"/>
      <c r="I22" s="120"/>
      <c r="J22" s="120"/>
      <c r="K22" s="120"/>
      <c r="M22" s="55"/>
      <c r="O22" s="55" t="s">
        <v>231</v>
      </c>
    </row>
    <row r="24" spans="1:15" s="119" customFormat="1">
      <c r="A24" s="121" t="s">
        <v>83</v>
      </c>
      <c r="B24" s="122" t="s">
        <v>139</v>
      </c>
      <c r="C24" s="355" t="s">
        <v>140</v>
      </c>
      <c r="D24" s="356"/>
      <c r="E24" s="355" t="s">
        <v>141</v>
      </c>
      <c r="F24" s="356"/>
      <c r="G24" s="357" t="s">
        <v>142</v>
      </c>
      <c r="H24" s="358"/>
      <c r="I24" s="358"/>
      <c r="J24" s="359"/>
      <c r="K24" s="122" t="s">
        <v>143</v>
      </c>
      <c r="L24" s="355" t="s">
        <v>134</v>
      </c>
      <c r="M24" s="356"/>
      <c r="N24" s="360" t="s">
        <v>340</v>
      </c>
      <c r="O24" s="363" t="s">
        <v>339</v>
      </c>
    </row>
    <row r="25" spans="1:15" s="119" customFormat="1">
      <c r="A25" s="123"/>
      <c r="B25" s="124" t="s">
        <v>144</v>
      </c>
      <c r="C25" s="122" t="s">
        <v>145</v>
      </c>
      <c r="D25" s="125" t="s">
        <v>125</v>
      </c>
      <c r="E25" s="122" t="s">
        <v>145</v>
      </c>
      <c r="F25" s="125" t="s">
        <v>125</v>
      </c>
      <c r="G25" s="122" t="s">
        <v>146</v>
      </c>
      <c r="H25" s="122" t="s">
        <v>147</v>
      </c>
      <c r="I25" s="122" t="s">
        <v>148</v>
      </c>
      <c r="J25" s="126" t="s">
        <v>125</v>
      </c>
      <c r="K25" s="124" t="s">
        <v>87</v>
      </c>
      <c r="L25" s="122" t="s">
        <v>145</v>
      </c>
      <c r="M25" s="125" t="s">
        <v>125</v>
      </c>
      <c r="N25" s="361"/>
      <c r="O25" s="364"/>
    </row>
    <row r="26" spans="1:15" s="119" customFormat="1">
      <c r="A26" s="127"/>
      <c r="B26" s="128"/>
      <c r="C26" s="128"/>
      <c r="D26" s="128" t="s">
        <v>149</v>
      </c>
      <c r="E26" s="128"/>
      <c r="F26" s="128" t="s">
        <v>149</v>
      </c>
      <c r="G26" s="127"/>
      <c r="H26" s="128"/>
      <c r="I26" s="128"/>
      <c r="J26" s="128" t="s">
        <v>149</v>
      </c>
      <c r="K26" s="128"/>
      <c r="L26" s="128"/>
      <c r="M26" s="128" t="s">
        <v>149</v>
      </c>
      <c r="N26" s="362"/>
      <c r="O26" s="365"/>
    </row>
    <row r="27" spans="1:15" s="63" customFormat="1" ht="93.75">
      <c r="A27" s="201" t="s">
        <v>336</v>
      </c>
      <c r="B27" s="236" t="s">
        <v>498</v>
      </c>
      <c r="C27" s="202">
        <v>42650</v>
      </c>
      <c r="D27" s="203" t="s">
        <v>125</v>
      </c>
      <c r="E27" s="202">
        <v>42660</v>
      </c>
      <c r="F27" s="204" t="s">
        <v>125</v>
      </c>
      <c r="G27" s="205" t="s">
        <v>506</v>
      </c>
      <c r="H27" s="202">
        <v>42695</v>
      </c>
      <c r="I27" s="202">
        <v>42875</v>
      </c>
      <c r="J27" s="204" t="s">
        <v>125</v>
      </c>
      <c r="K27" s="285">
        <v>2458000</v>
      </c>
      <c r="L27" s="202">
        <v>42887</v>
      </c>
      <c r="M27" s="203" t="s">
        <v>125</v>
      </c>
      <c r="N27" s="283">
        <f>2788000-2425042</f>
        <v>362958</v>
      </c>
      <c r="O27" s="38" t="s">
        <v>92</v>
      </c>
    </row>
    <row r="28" spans="1:15" ht="93.75">
      <c r="A28" s="200" t="s">
        <v>338</v>
      </c>
      <c r="B28" s="80" t="s">
        <v>499</v>
      </c>
      <c r="C28" s="202">
        <v>42650</v>
      </c>
      <c r="D28" s="203" t="s">
        <v>125</v>
      </c>
      <c r="E28" s="202">
        <v>42660</v>
      </c>
      <c r="F28" s="204" t="s">
        <v>125</v>
      </c>
      <c r="G28" s="205" t="s">
        <v>507</v>
      </c>
      <c r="H28" s="202">
        <v>42695</v>
      </c>
      <c r="I28" s="202">
        <v>42875</v>
      </c>
      <c r="J28" s="204" t="s">
        <v>125</v>
      </c>
      <c r="K28" s="285">
        <v>2380000</v>
      </c>
      <c r="L28" s="202">
        <v>42887</v>
      </c>
      <c r="M28" s="203" t="s">
        <v>125</v>
      </c>
      <c r="N28" s="283">
        <f>2788000-2347042</f>
        <v>440958</v>
      </c>
      <c r="O28" s="38" t="s">
        <v>92</v>
      </c>
    </row>
    <row r="33" spans="1:27" s="49" customFormat="1">
      <c r="A33" s="44"/>
      <c r="B33" s="45" t="s">
        <v>406</v>
      </c>
      <c r="C33" s="46"/>
      <c r="D33" s="45"/>
      <c r="E33" s="47" t="s">
        <v>407</v>
      </c>
      <c r="I33" s="47"/>
      <c r="J33" s="47" t="s">
        <v>408</v>
      </c>
      <c r="K33" s="47"/>
      <c r="L33" s="47"/>
      <c r="M33" s="47"/>
      <c r="N33" s="335"/>
      <c r="O33" s="335"/>
      <c r="P33" s="335"/>
      <c r="Q33" s="335"/>
      <c r="R33" s="51"/>
      <c r="S33" s="52"/>
      <c r="T33" s="53"/>
      <c r="U33" s="51"/>
      <c r="V33" s="51"/>
      <c r="W33" s="51"/>
      <c r="X33" s="51"/>
      <c r="Y33" s="51"/>
      <c r="Z33" s="51"/>
      <c r="AA33" s="51"/>
    </row>
    <row r="34" spans="1:27" s="49" customFormat="1">
      <c r="A34" s="44"/>
      <c r="B34" s="45" t="s">
        <v>342</v>
      </c>
      <c r="C34" s="46"/>
      <c r="D34" s="45"/>
      <c r="E34" s="47" t="s">
        <v>658</v>
      </c>
      <c r="I34" s="47"/>
      <c r="J34" s="47" t="s">
        <v>75</v>
      </c>
      <c r="K34" s="47"/>
      <c r="L34" s="47"/>
      <c r="M34" s="47"/>
      <c r="N34" s="335"/>
      <c r="O34" s="335"/>
      <c r="P34" s="335"/>
      <c r="Q34" s="335"/>
      <c r="R34" s="51"/>
      <c r="S34" s="52"/>
      <c r="T34" s="53"/>
      <c r="U34" s="51"/>
      <c r="V34" s="51"/>
      <c r="W34" s="51"/>
      <c r="X34" s="51"/>
      <c r="Y34" s="51"/>
      <c r="Z34" s="51"/>
      <c r="AA34" s="51"/>
    </row>
    <row r="35" spans="1:27" s="49" customFormat="1">
      <c r="A35" s="54"/>
      <c r="B35" s="45" t="s">
        <v>660</v>
      </c>
      <c r="C35" s="52"/>
      <c r="D35" s="45"/>
      <c r="E35" s="48" t="s">
        <v>659</v>
      </c>
      <c r="J35" s="48" t="s">
        <v>74</v>
      </c>
      <c r="N35" s="335"/>
      <c r="O35" s="335"/>
      <c r="P35" s="335"/>
      <c r="Q35" s="335"/>
      <c r="R35" s="54"/>
      <c r="S35" s="52"/>
      <c r="T35" s="53"/>
    </row>
    <row r="36" spans="1:27">
      <c r="B36" s="54" t="s">
        <v>345</v>
      </c>
    </row>
    <row r="41" spans="1:27">
      <c r="A41" s="354" t="s">
        <v>348</v>
      </c>
      <c r="B41" s="354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</row>
    <row r="42" spans="1:27">
      <c r="A42" s="45" t="s">
        <v>106</v>
      </c>
      <c r="F42" s="45"/>
      <c r="G42" s="45" t="s">
        <v>107</v>
      </c>
      <c r="I42" s="45"/>
      <c r="J42" s="45"/>
      <c r="K42" s="45"/>
      <c r="L42" s="55"/>
      <c r="O42" s="55" t="s">
        <v>505</v>
      </c>
    </row>
    <row r="43" spans="1:27">
      <c r="A43" s="45" t="s">
        <v>106</v>
      </c>
      <c r="F43" s="120" t="s">
        <v>656</v>
      </c>
      <c r="G43" s="120"/>
      <c r="H43" s="120"/>
      <c r="I43" s="120"/>
      <c r="J43" s="120"/>
      <c r="K43" s="120"/>
      <c r="M43" s="55"/>
      <c r="O43" s="55" t="s">
        <v>231</v>
      </c>
    </row>
    <row r="45" spans="1:27" s="119" customFormat="1">
      <c r="A45" s="121" t="s">
        <v>83</v>
      </c>
      <c r="B45" s="122" t="s">
        <v>139</v>
      </c>
      <c r="C45" s="355" t="s">
        <v>140</v>
      </c>
      <c r="D45" s="356"/>
      <c r="E45" s="355" t="s">
        <v>141</v>
      </c>
      <c r="F45" s="356"/>
      <c r="G45" s="357" t="s">
        <v>142</v>
      </c>
      <c r="H45" s="358"/>
      <c r="I45" s="358"/>
      <c r="J45" s="359"/>
      <c r="K45" s="122" t="s">
        <v>143</v>
      </c>
      <c r="L45" s="355" t="s">
        <v>134</v>
      </c>
      <c r="M45" s="356"/>
      <c r="N45" s="360" t="s">
        <v>340</v>
      </c>
      <c r="O45" s="363" t="s">
        <v>339</v>
      </c>
    </row>
    <row r="46" spans="1:27" s="119" customFormat="1">
      <c r="A46" s="123"/>
      <c r="B46" s="124" t="s">
        <v>144</v>
      </c>
      <c r="C46" s="122" t="s">
        <v>145</v>
      </c>
      <c r="D46" s="125" t="s">
        <v>125</v>
      </c>
      <c r="E46" s="122" t="s">
        <v>145</v>
      </c>
      <c r="F46" s="125" t="s">
        <v>125</v>
      </c>
      <c r="G46" s="122" t="s">
        <v>146</v>
      </c>
      <c r="H46" s="122" t="s">
        <v>147</v>
      </c>
      <c r="I46" s="122" t="s">
        <v>148</v>
      </c>
      <c r="J46" s="126" t="s">
        <v>125</v>
      </c>
      <c r="K46" s="124" t="s">
        <v>87</v>
      </c>
      <c r="L46" s="122" t="s">
        <v>145</v>
      </c>
      <c r="M46" s="125" t="s">
        <v>125</v>
      </c>
      <c r="N46" s="361"/>
      <c r="O46" s="364"/>
    </row>
    <row r="47" spans="1:27" s="119" customFormat="1">
      <c r="A47" s="127"/>
      <c r="B47" s="128"/>
      <c r="C47" s="128"/>
      <c r="D47" s="128" t="s">
        <v>149</v>
      </c>
      <c r="E47" s="128"/>
      <c r="F47" s="128" t="s">
        <v>149</v>
      </c>
      <c r="G47" s="127"/>
      <c r="H47" s="128"/>
      <c r="I47" s="128"/>
      <c r="J47" s="128" t="s">
        <v>149</v>
      </c>
      <c r="K47" s="128"/>
      <c r="L47" s="128"/>
      <c r="M47" s="128" t="s">
        <v>149</v>
      </c>
      <c r="N47" s="362"/>
      <c r="O47" s="365"/>
    </row>
    <row r="48" spans="1:27" s="63" customFormat="1">
      <c r="A48" s="129"/>
      <c r="B48" s="147" t="s">
        <v>341</v>
      </c>
      <c r="C48" s="97" t="s">
        <v>92</v>
      </c>
      <c r="D48" s="131"/>
      <c r="E48" s="97" t="s">
        <v>92</v>
      </c>
      <c r="F48" s="132"/>
      <c r="G48" s="97" t="s">
        <v>92</v>
      </c>
      <c r="H48" s="97" t="s">
        <v>92</v>
      </c>
      <c r="I48" s="97" t="s">
        <v>92</v>
      </c>
      <c r="J48" s="132"/>
      <c r="K48" s="97" t="s">
        <v>92</v>
      </c>
      <c r="L48" s="97" t="s">
        <v>92</v>
      </c>
      <c r="M48" s="131"/>
      <c r="N48" s="97" t="s">
        <v>92</v>
      </c>
      <c r="O48" s="97" t="s">
        <v>92</v>
      </c>
    </row>
    <row r="49" spans="1:27">
      <c r="A49" s="133"/>
      <c r="B49" s="70"/>
      <c r="C49" s="134"/>
      <c r="D49" s="135"/>
      <c r="E49" s="134"/>
      <c r="F49" s="136"/>
      <c r="G49" s="148"/>
      <c r="H49" s="134"/>
      <c r="I49" s="134"/>
      <c r="J49" s="136"/>
      <c r="K49" s="137"/>
      <c r="L49" s="138"/>
      <c r="M49" s="135"/>
      <c r="N49" s="139"/>
      <c r="O49" s="60"/>
    </row>
    <row r="50" spans="1:27">
      <c r="A50" s="140"/>
      <c r="B50" s="141"/>
      <c r="C50" s="141"/>
      <c r="D50" s="141"/>
      <c r="E50" s="141"/>
      <c r="F50" s="141"/>
      <c r="G50" s="140"/>
      <c r="H50" s="141"/>
      <c r="I50" s="141"/>
      <c r="J50" s="141"/>
      <c r="K50" s="141"/>
      <c r="L50" s="141"/>
      <c r="M50" s="142"/>
      <c r="N50" s="141"/>
      <c r="O50" s="141"/>
    </row>
    <row r="51" spans="1:27">
      <c r="A51" s="140"/>
      <c r="B51" s="141"/>
      <c r="C51" s="141"/>
      <c r="D51" s="141"/>
      <c r="E51" s="141"/>
      <c r="F51" s="141"/>
      <c r="G51" s="140"/>
      <c r="H51" s="141"/>
      <c r="I51" s="141"/>
      <c r="J51" s="141"/>
      <c r="K51" s="141"/>
      <c r="L51" s="141"/>
      <c r="M51" s="142"/>
      <c r="N51" s="141"/>
      <c r="O51" s="141"/>
    </row>
    <row r="52" spans="1:27">
      <c r="A52" s="140"/>
      <c r="B52" s="141"/>
      <c r="C52" s="141"/>
      <c r="D52" s="141"/>
      <c r="E52" s="141"/>
      <c r="F52" s="141"/>
      <c r="G52" s="140"/>
      <c r="H52" s="141"/>
      <c r="I52" s="141"/>
      <c r="J52" s="141"/>
      <c r="K52" s="141"/>
      <c r="L52" s="141"/>
      <c r="M52" s="142"/>
      <c r="N52" s="141"/>
      <c r="O52" s="141"/>
    </row>
    <row r="53" spans="1:27">
      <c r="A53" s="143"/>
      <c r="B53" s="144"/>
      <c r="C53" s="144"/>
      <c r="D53" s="144"/>
      <c r="E53" s="144"/>
      <c r="F53" s="144"/>
      <c r="G53" s="145"/>
      <c r="H53" s="144"/>
      <c r="I53" s="144"/>
      <c r="J53" s="144"/>
      <c r="K53" s="144"/>
      <c r="L53" s="144"/>
      <c r="M53" s="146"/>
      <c r="N53" s="144"/>
      <c r="O53" s="144"/>
    </row>
    <row r="58" spans="1:27" s="49" customFormat="1">
      <c r="A58" s="44"/>
      <c r="B58" s="45" t="s">
        <v>406</v>
      </c>
      <c r="C58" s="46"/>
      <c r="D58" s="45"/>
      <c r="E58" s="47" t="s">
        <v>407</v>
      </c>
      <c r="I58" s="47"/>
      <c r="J58" s="47" t="s">
        <v>408</v>
      </c>
      <c r="K58" s="47"/>
      <c r="L58" s="47"/>
      <c r="M58" s="47"/>
      <c r="N58" s="335"/>
      <c r="O58" s="335"/>
      <c r="P58" s="335"/>
      <c r="Q58" s="335"/>
      <c r="R58" s="51"/>
      <c r="S58" s="52"/>
      <c r="T58" s="53"/>
      <c r="U58" s="51"/>
      <c r="V58" s="51"/>
      <c r="W58" s="51"/>
      <c r="X58" s="51"/>
      <c r="Y58" s="51"/>
      <c r="Z58" s="51"/>
      <c r="AA58" s="51"/>
    </row>
    <row r="59" spans="1:27" s="49" customFormat="1">
      <c r="A59" s="44"/>
      <c r="B59" s="45" t="s">
        <v>342</v>
      </c>
      <c r="C59" s="46"/>
      <c r="D59" s="45"/>
      <c r="E59" s="47" t="s">
        <v>658</v>
      </c>
      <c r="I59" s="47"/>
      <c r="J59" s="47" t="s">
        <v>75</v>
      </c>
      <c r="K59" s="47"/>
      <c r="L59" s="47"/>
      <c r="M59" s="47"/>
      <c r="N59" s="335"/>
      <c r="O59" s="335"/>
      <c r="P59" s="335"/>
      <c r="Q59" s="335"/>
      <c r="R59" s="51"/>
      <c r="S59" s="52"/>
      <c r="T59" s="53"/>
      <c r="U59" s="51"/>
      <c r="V59" s="51"/>
      <c r="W59" s="51"/>
      <c r="X59" s="51"/>
      <c r="Y59" s="51"/>
      <c r="Z59" s="51"/>
      <c r="AA59" s="51"/>
    </row>
    <row r="60" spans="1:27" s="49" customFormat="1">
      <c r="A60" s="54"/>
      <c r="B60" s="45" t="s">
        <v>660</v>
      </c>
      <c r="C60" s="52"/>
      <c r="D60" s="45"/>
      <c r="E60" s="48" t="s">
        <v>659</v>
      </c>
      <c r="J60" s="48" t="s">
        <v>74</v>
      </c>
      <c r="N60" s="335"/>
      <c r="O60" s="335"/>
      <c r="P60" s="335"/>
      <c r="Q60" s="335"/>
      <c r="R60" s="54"/>
      <c r="S60" s="52"/>
      <c r="T60" s="53"/>
    </row>
    <row r="61" spans="1:27">
      <c r="B61" s="54" t="s">
        <v>345</v>
      </c>
    </row>
  </sheetData>
  <mergeCells count="30">
    <mergeCell ref="N58:Q58"/>
    <mergeCell ref="N59:Q59"/>
    <mergeCell ref="N60:Q60"/>
    <mergeCell ref="C45:D45"/>
    <mergeCell ref="E45:F45"/>
    <mergeCell ref="G45:J45"/>
    <mergeCell ref="L45:M45"/>
    <mergeCell ref="N45:N47"/>
    <mergeCell ref="O45:O47"/>
    <mergeCell ref="A1:O1"/>
    <mergeCell ref="C5:D5"/>
    <mergeCell ref="E5:F5"/>
    <mergeCell ref="G5:J5"/>
    <mergeCell ref="L5:M5"/>
    <mergeCell ref="O5:O7"/>
    <mergeCell ref="N5:N7"/>
    <mergeCell ref="A41:O41"/>
    <mergeCell ref="N14:Q14"/>
    <mergeCell ref="N15:Q15"/>
    <mergeCell ref="N16:Q16"/>
    <mergeCell ref="N34:Q34"/>
    <mergeCell ref="N35:Q35"/>
    <mergeCell ref="N33:Q33"/>
    <mergeCell ref="A20:O20"/>
    <mergeCell ref="C24:D24"/>
    <mergeCell ref="E24:F24"/>
    <mergeCell ref="G24:J24"/>
    <mergeCell ref="L24:M24"/>
    <mergeCell ref="N24:N26"/>
    <mergeCell ref="O24:O26"/>
  </mergeCells>
  <phoneticPr fontId="0" type="noConversion"/>
  <pageMargins left="0.59055118110236227" right="0.39370078740157483" top="0.98425196850393704" bottom="0.98425196850393704" header="0.51181102362204722" footer="0.51181102362204722"/>
  <pageSetup paperSize="9" scale="94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3064"/>
  <sheetViews>
    <sheetView view="pageBreakPreview" zoomScale="125" zoomScaleNormal="125" zoomScaleSheetLayoutView="125" workbookViewId="0">
      <selection activeCell="N15" sqref="N15"/>
    </sheetView>
  </sheetViews>
  <sheetFormatPr defaultRowHeight="18.75"/>
  <cols>
    <col min="1" max="1" width="4.28515625" style="170" customWidth="1"/>
    <col min="2" max="2" width="14.5703125" style="170" customWidth="1"/>
    <col min="3" max="3" width="32.7109375" style="170" customWidth="1"/>
    <col min="4" max="4" width="11.85546875" style="170" customWidth="1"/>
    <col min="5" max="5" width="6.42578125" style="170" customWidth="1"/>
    <col min="6" max="6" width="4.5703125" style="170" customWidth="1"/>
    <col min="7" max="7" width="2.85546875" style="170" customWidth="1"/>
    <col min="8" max="8" width="3" style="170" customWidth="1"/>
    <col min="9" max="9" width="3.140625" style="170" customWidth="1"/>
    <col min="10" max="10" width="2.7109375" style="170" customWidth="1"/>
    <col min="11" max="11" width="3.140625" style="170" customWidth="1"/>
    <col min="12" max="12" width="3.7109375" style="170" customWidth="1"/>
    <col min="13" max="13" width="8.5703125" style="170" customWidth="1"/>
    <col min="14" max="14" width="7" style="170" customWidth="1"/>
    <col min="15" max="15" width="7.140625" style="170" customWidth="1"/>
    <col min="16" max="16" width="8.140625" style="170" customWidth="1"/>
    <col min="17" max="17" width="12.28515625" style="170" customWidth="1"/>
    <col min="18" max="18" width="9.42578125" style="170" customWidth="1"/>
    <col min="19" max="19" width="13.5703125" style="39" customWidth="1"/>
    <col min="20" max="20" width="9.85546875" style="42" bestFit="1" customWidth="1"/>
    <col min="21" max="16384" width="9.140625" style="149"/>
  </cols>
  <sheetData>
    <row r="1" spans="1:27" ht="19.5">
      <c r="A1" s="373" t="s">
        <v>511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</row>
    <row r="2" spans="1:27" ht="19.5">
      <c r="A2" s="374" t="s">
        <v>68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T2" s="39"/>
    </row>
    <row r="3" spans="1:27">
      <c r="A3" s="91"/>
      <c r="B3" s="375" t="s">
        <v>170</v>
      </c>
      <c r="C3" s="368" t="s">
        <v>174</v>
      </c>
      <c r="D3" s="370"/>
      <c r="E3" s="366" t="s">
        <v>175</v>
      </c>
      <c r="F3" s="367"/>
      <c r="G3" s="368" t="s">
        <v>176</v>
      </c>
      <c r="H3" s="369"/>
      <c r="I3" s="369"/>
      <c r="J3" s="370"/>
      <c r="K3" s="371" t="s">
        <v>213</v>
      </c>
      <c r="L3" s="372"/>
      <c r="M3" s="366" t="s">
        <v>214</v>
      </c>
      <c r="N3" s="385"/>
      <c r="O3" s="367"/>
      <c r="P3" s="366" t="s">
        <v>172</v>
      </c>
      <c r="Q3" s="367"/>
      <c r="R3" s="126"/>
    </row>
    <row r="4" spans="1:27">
      <c r="A4" s="93"/>
      <c r="B4" s="377"/>
      <c r="C4" s="389" t="s">
        <v>177</v>
      </c>
      <c r="D4" s="390"/>
      <c r="E4" s="383" t="s">
        <v>215</v>
      </c>
      <c r="F4" s="384"/>
      <c r="G4" s="389" t="s">
        <v>215</v>
      </c>
      <c r="H4" s="391"/>
      <c r="I4" s="391"/>
      <c r="J4" s="390"/>
      <c r="K4" s="392" t="s">
        <v>216</v>
      </c>
      <c r="L4" s="393"/>
      <c r="M4" s="383"/>
      <c r="N4" s="386"/>
      <c r="O4" s="384"/>
      <c r="P4" s="383"/>
      <c r="Q4" s="384"/>
      <c r="R4" s="125"/>
    </row>
    <row r="5" spans="1:27">
      <c r="A5" s="93"/>
      <c r="B5" s="375" t="s">
        <v>171</v>
      </c>
      <c r="C5" s="378" t="s">
        <v>150</v>
      </c>
      <c r="D5" s="150"/>
      <c r="E5" s="150" t="s">
        <v>217</v>
      </c>
      <c r="F5" s="150" t="s">
        <v>178</v>
      </c>
      <c r="G5" s="150"/>
      <c r="H5" s="150"/>
      <c r="I5" s="150"/>
      <c r="J5" s="150"/>
      <c r="K5" s="381" t="s">
        <v>218</v>
      </c>
      <c r="L5" s="382"/>
      <c r="M5" s="150" t="s">
        <v>182</v>
      </c>
      <c r="N5" s="150" t="s">
        <v>219</v>
      </c>
      <c r="O5" s="150" t="s">
        <v>220</v>
      </c>
      <c r="P5" s="150" t="s">
        <v>183</v>
      </c>
      <c r="Q5" s="150" t="s">
        <v>221</v>
      </c>
      <c r="R5" s="150"/>
    </row>
    <row r="6" spans="1:27">
      <c r="A6" s="151" t="s">
        <v>83</v>
      </c>
      <c r="B6" s="376"/>
      <c r="C6" s="379"/>
      <c r="D6" s="150" t="s">
        <v>186</v>
      </c>
      <c r="E6" s="150" t="s">
        <v>222</v>
      </c>
      <c r="F6" s="150" t="s">
        <v>187</v>
      </c>
      <c r="G6" s="150" t="s">
        <v>179</v>
      </c>
      <c r="H6" s="150" t="s">
        <v>179</v>
      </c>
      <c r="I6" s="150" t="s">
        <v>180</v>
      </c>
      <c r="J6" s="150" t="s">
        <v>181</v>
      </c>
      <c r="K6" s="387" t="s">
        <v>192</v>
      </c>
      <c r="L6" s="388"/>
      <c r="M6" s="152" t="s">
        <v>210</v>
      </c>
      <c r="N6" s="150" t="s">
        <v>223</v>
      </c>
      <c r="O6" s="150" t="s">
        <v>206</v>
      </c>
      <c r="P6" s="150" t="s">
        <v>224</v>
      </c>
      <c r="Q6" s="150" t="s">
        <v>225</v>
      </c>
      <c r="R6" s="150" t="s">
        <v>91</v>
      </c>
    </row>
    <row r="7" spans="1:27">
      <c r="A7" s="151" t="s">
        <v>185</v>
      </c>
      <c r="B7" s="376"/>
      <c r="C7" s="379"/>
      <c r="D7" s="150" t="s">
        <v>194</v>
      </c>
      <c r="E7" s="150" t="s">
        <v>85</v>
      </c>
      <c r="F7" s="150" t="s">
        <v>136</v>
      </c>
      <c r="G7" s="150" t="s">
        <v>188</v>
      </c>
      <c r="H7" s="150" t="s">
        <v>189</v>
      </c>
      <c r="I7" s="150" t="s">
        <v>190</v>
      </c>
      <c r="J7" s="150" t="s">
        <v>191</v>
      </c>
      <c r="K7" s="153" t="s">
        <v>195</v>
      </c>
      <c r="L7" s="153" t="s">
        <v>196</v>
      </c>
      <c r="M7" s="150" t="s">
        <v>190</v>
      </c>
      <c r="N7" s="150" t="s">
        <v>142</v>
      </c>
      <c r="O7" s="150" t="s">
        <v>508</v>
      </c>
      <c r="P7" s="150" t="s">
        <v>508</v>
      </c>
      <c r="Q7" s="150" t="s">
        <v>226</v>
      </c>
      <c r="R7" s="150"/>
    </row>
    <row r="8" spans="1:27">
      <c r="A8" s="93"/>
      <c r="B8" s="376"/>
      <c r="C8" s="379"/>
      <c r="D8" s="150"/>
      <c r="E8" s="150" t="s">
        <v>200</v>
      </c>
      <c r="F8" s="150" t="s">
        <v>508</v>
      </c>
      <c r="G8" s="150"/>
      <c r="H8" s="150"/>
      <c r="I8" s="150"/>
      <c r="J8" s="150" t="s">
        <v>190</v>
      </c>
      <c r="K8" s="150" t="s">
        <v>215</v>
      </c>
      <c r="L8" s="150" t="s">
        <v>215</v>
      </c>
      <c r="M8" s="150" t="s">
        <v>198</v>
      </c>
      <c r="N8" s="150" t="s">
        <v>198</v>
      </c>
      <c r="O8" s="150" t="s">
        <v>198</v>
      </c>
      <c r="P8" s="150" t="s">
        <v>199</v>
      </c>
      <c r="Q8" s="150" t="s">
        <v>199</v>
      </c>
      <c r="R8" s="150"/>
    </row>
    <row r="9" spans="1:27">
      <c r="A9" s="95"/>
      <c r="B9" s="377"/>
      <c r="C9" s="380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27" s="156" customFormat="1" ht="37.5">
      <c r="A10" s="210">
        <v>1</v>
      </c>
      <c r="B10" s="8" t="s">
        <v>346</v>
      </c>
      <c r="C10" s="211" t="s">
        <v>493</v>
      </c>
      <c r="D10" s="212" t="s">
        <v>411</v>
      </c>
      <c r="E10" s="38" t="s">
        <v>92</v>
      </c>
      <c r="F10" s="38" t="s">
        <v>125</v>
      </c>
      <c r="G10" s="38" t="s">
        <v>92</v>
      </c>
      <c r="H10" s="38" t="s">
        <v>92</v>
      </c>
      <c r="I10" s="38" t="s">
        <v>92</v>
      </c>
      <c r="J10" s="38" t="s">
        <v>125</v>
      </c>
      <c r="K10" s="38" t="s">
        <v>125</v>
      </c>
      <c r="L10" s="38" t="s">
        <v>92</v>
      </c>
      <c r="M10" s="38" t="s">
        <v>517</v>
      </c>
      <c r="N10" s="38" t="s">
        <v>509</v>
      </c>
      <c r="O10" s="38" t="s">
        <v>510</v>
      </c>
      <c r="P10" s="38" t="s">
        <v>92</v>
      </c>
      <c r="Q10" s="228">
        <v>2.7879999999999998</v>
      </c>
      <c r="R10" s="213"/>
      <c r="S10" s="26"/>
      <c r="T10" s="155"/>
    </row>
    <row r="11" spans="1:27" ht="37.5">
      <c r="A11" s="210">
        <v>2</v>
      </c>
      <c r="B11" s="8" t="s">
        <v>346</v>
      </c>
      <c r="C11" s="80" t="s">
        <v>494</v>
      </c>
      <c r="D11" s="212" t="s">
        <v>411</v>
      </c>
      <c r="E11" s="38" t="s">
        <v>92</v>
      </c>
      <c r="F11" s="38" t="s">
        <v>125</v>
      </c>
      <c r="G11" s="38" t="s">
        <v>92</v>
      </c>
      <c r="H11" s="38" t="s">
        <v>92</v>
      </c>
      <c r="I11" s="38" t="s">
        <v>92</v>
      </c>
      <c r="J11" s="38" t="s">
        <v>125</v>
      </c>
      <c r="K11" s="38" t="s">
        <v>125</v>
      </c>
      <c r="L11" s="38" t="s">
        <v>92</v>
      </c>
      <c r="M11" s="38" t="s">
        <v>517</v>
      </c>
      <c r="N11" s="38" t="s">
        <v>509</v>
      </c>
      <c r="O11" s="38" t="s">
        <v>510</v>
      </c>
      <c r="P11" s="38" t="s">
        <v>92</v>
      </c>
      <c r="Q11" s="228">
        <v>2.7879999999999998</v>
      </c>
      <c r="R11" s="213"/>
    </row>
    <row r="12" spans="1:27" s="156" customFormat="1">
      <c r="A12" s="38">
        <v>3</v>
      </c>
      <c r="B12" s="8" t="s">
        <v>663</v>
      </c>
      <c r="C12" s="19" t="s">
        <v>661</v>
      </c>
      <c r="D12" s="38" t="s">
        <v>662</v>
      </c>
      <c r="E12" s="38" t="s">
        <v>92</v>
      </c>
      <c r="F12" s="38" t="s">
        <v>125</v>
      </c>
      <c r="G12" s="38" t="s">
        <v>125</v>
      </c>
      <c r="H12" s="38" t="s">
        <v>92</v>
      </c>
      <c r="I12" s="38" t="s">
        <v>92</v>
      </c>
      <c r="J12" s="38" t="s">
        <v>92</v>
      </c>
      <c r="K12" s="38" t="s">
        <v>125</v>
      </c>
      <c r="L12" s="38" t="s">
        <v>92</v>
      </c>
      <c r="M12" s="38" t="s">
        <v>92</v>
      </c>
      <c r="N12" s="38" t="s">
        <v>665</v>
      </c>
      <c r="O12" s="38" t="s">
        <v>509</v>
      </c>
      <c r="P12" s="286">
        <v>0.13</v>
      </c>
      <c r="Q12" s="38" t="s">
        <v>92</v>
      </c>
      <c r="R12" s="214"/>
      <c r="S12" s="209"/>
      <c r="T12" s="155"/>
    </row>
    <row r="13" spans="1:27">
      <c r="A13" s="206"/>
      <c r="B13" s="204"/>
      <c r="C13" s="215"/>
      <c r="D13" s="216"/>
      <c r="E13" s="206"/>
      <c r="F13" s="217"/>
      <c r="G13" s="217"/>
      <c r="H13" s="217"/>
      <c r="I13" s="217"/>
      <c r="J13" s="218"/>
      <c r="K13" s="217"/>
      <c r="L13" s="219"/>
      <c r="M13" s="220"/>
      <c r="N13" s="217"/>
      <c r="O13" s="220"/>
      <c r="P13" s="221"/>
      <c r="Q13" s="222"/>
      <c r="R13" s="223"/>
    </row>
    <row r="14" spans="1:27">
      <c r="A14" s="217"/>
      <c r="B14" s="224"/>
      <c r="C14" s="225"/>
      <c r="D14" s="219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7"/>
      <c r="S14" s="41"/>
      <c r="U14" s="40"/>
      <c r="V14" s="40"/>
      <c r="W14" s="40"/>
      <c r="X14" s="40"/>
      <c r="Y14" s="40"/>
      <c r="Z14" s="40"/>
      <c r="AA14" s="40"/>
    </row>
    <row r="15" spans="1:27">
      <c r="A15" s="217"/>
      <c r="B15" s="224"/>
      <c r="C15" s="225"/>
      <c r="D15" s="219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7"/>
      <c r="S15" s="41"/>
      <c r="U15" s="40"/>
      <c r="V15" s="40"/>
      <c r="W15" s="40"/>
      <c r="X15" s="40"/>
      <c r="Y15" s="40"/>
      <c r="Z15" s="40"/>
      <c r="AA15" s="40"/>
    </row>
    <row r="16" spans="1:27">
      <c r="A16" s="217"/>
      <c r="B16" s="224"/>
      <c r="C16" s="225"/>
      <c r="D16" s="219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7"/>
      <c r="S16" s="41"/>
      <c r="U16" s="40"/>
      <c r="V16" s="40"/>
      <c r="W16" s="40"/>
      <c r="X16" s="40"/>
      <c r="Y16" s="40"/>
      <c r="Z16" s="40"/>
      <c r="AA16" s="40"/>
    </row>
    <row r="17" spans="1:27">
      <c r="A17" s="44"/>
      <c r="B17" s="158"/>
      <c r="C17" s="159"/>
      <c r="D17" s="160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51"/>
      <c r="S17" s="41"/>
      <c r="U17" s="40"/>
      <c r="V17" s="40"/>
      <c r="W17" s="40"/>
      <c r="X17" s="40"/>
      <c r="Y17" s="40"/>
      <c r="Z17" s="40"/>
      <c r="AA17" s="40"/>
    </row>
    <row r="18" spans="1:27">
      <c r="A18" s="44"/>
      <c r="B18" s="158"/>
      <c r="C18" s="159"/>
      <c r="D18" s="160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51"/>
      <c r="S18" s="41"/>
      <c r="U18" s="40"/>
      <c r="V18" s="40"/>
      <c r="W18" s="40"/>
      <c r="X18" s="40"/>
      <c r="Y18" s="40"/>
      <c r="Z18" s="40"/>
      <c r="AA18" s="40"/>
    </row>
    <row r="19" spans="1:27">
      <c r="A19" s="44"/>
      <c r="B19" s="158"/>
      <c r="C19" s="159"/>
      <c r="D19" s="160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51"/>
      <c r="S19" s="41"/>
      <c r="U19" s="40"/>
      <c r="V19" s="40"/>
      <c r="W19" s="40"/>
      <c r="X19" s="40"/>
      <c r="Y19" s="40"/>
      <c r="Z19" s="40"/>
      <c r="AA19" s="40"/>
    </row>
    <row r="20" spans="1:27">
      <c r="A20" s="44"/>
      <c r="B20" s="158"/>
      <c r="C20" s="159"/>
      <c r="D20" s="160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51"/>
      <c r="S20" s="41"/>
      <c r="U20" s="40"/>
      <c r="V20" s="40"/>
      <c r="W20" s="40"/>
      <c r="X20" s="40"/>
      <c r="Y20" s="40"/>
      <c r="Z20" s="40"/>
      <c r="AA20" s="40"/>
    </row>
    <row r="21" spans="1:27" s="49" customFormat="1" ht="15.75">
      <c r="A21" s="44"/>
      <c r="B21" s="45" t="s">
        <v>71</v>
      </c>
      <c r="C21" s="46"/>
      <c r="D21" s="45"/>
      <c r="E21" s="47"/>
      <c r="F21" s="47" t="s">
        <v>72</v>
      </c>
      <c r="G21" s="47"/>
      <c r="H21" s="47"/>
      <c r="I21" s="47"/>
      <c r="J21" s="47"/>
      <c r="K21" s="47"/>
      <c r="L21" s="47"/>
      <c r="M21" s="47"/>
      <c r="N21" s="335" t="s">
        <v>76</v>
      </c>
      <c r="O21" s="335"/>
      <c r="P21" s="335"/>
      <c r="Q21" s="335"/>
      <c r="R21" s="51"/>
      <c r="S21" s="52"/>
      <c r="T21" s="53"/>
      <c r="U21" s="51"/>
      <c r="V21" s="51"/>
      <c r="W21" s="51"/>
      <c r="X21" s="51"/>
      <c r="Y21" s="51"/>
      <c r="Z21" s="51"/>
      <c r="AA21" s="51"/>
    </row>
    <row r="22" spans="1:27" s="49" customFormat="1" ht="15.75">
      <c r="A22" s="44"/>
      <c r="B22" s="45" t="s">
        <v>647</v>
      </c>
      <c r="C22" s="46"/>
      <c r="D22" s="45"/>
      <c r="E22" s="47"/>
      <c r="F22" s="47" t="s">
        <v>75</v>
      </c>
      <c r="G22" s="47"/>
      <c r="H22" s="47"/>
      <c r="I22" s="47"/>
      <c r="J22" s="47"/>
      <c r="K22" s="47"/>
      <c r="L22" s="47"/>
      <c r="M22" s="47"/>
      <c r="N22" s="335" t="s">
        <v>69</v>
      </c>
      <c r="O22" s="335"/>
      <c r="P22" s="335"/>
      <c r="Q22" s="335"/>
      <c r="R22" s="51"/>
      <c r="S22" s="52"/>
      <c r="T22" s="53"/>
      <c r="U22" s="51"/>
      <c r="V22" s="51"/>
      <c r="W22" s="51"/>
      <c r="X22" s="51"/>
      <c r="Y22" s="51"/>
      <c r="Z22" s="51"/>
      <c r="AA22" s="51"/>
    </row>
    <row r="23" spans="1:27" s="49" customFormat="1" ht="15.75">
      <c r="A23" s="54"/>
      <c r="B23" s="45" t="s">
        <v>664</v>
      </c>
      <c r="C23" s="52"/>
      <c r="D23" s="45"/>
      <c r="F23" s="48" t="s">
        <v>74</v>
      </c>
      <c r="N23" s="335" t="s">
        <v>70</v>
      </c>
      <c r="O23" s="335"/>
      <c r="P23" s="335"/>
      <c r="Q23" s="335"/>
      <c r="R23" s="54"/>
      <c r="S23" s="52"/>
      <c r="T23" s="53"/>
    </row>
    <row r="24" spans="1:27" s="54" customFormat="1" ht="15.75">
      <c r="B24" s="54" t="s">
        <v>345</v>
      </c>
    </row>
    <row r="25" spans="1:27" ht="20.25">
      <c r="A25" s="54"/>
      <c r="B25" s="161"/>
      <c r="C25" s="162"/>
      <c r="D25" s="163"/>
      <c r="E25" s="164"/>
      <c r="F25" s="164"/>
      <c r="G25" s="164"/>
      <c r="H25" s="162"/>
      <c r="I25" s="164"/>
      <c r="J25" s="164"/>
      <c r="K25" s="164"/>
      <c r="L25" s="164"/>
      <c r="M25" s="164"/>
      <c r="N25" s="164"/>
      <c r="O25" s="164"/>
      <c r="P25" s="164"/>
      <c r="Q25" s="49"/>
      <c r="R25" s="54"/>
      <c r="S25" s="165"/>
    </row>
    <row r="26" spans="1:27" ht="20.25">
      <c r="A26" s="54"/>
      <c r="B26" s="161"/>
      <c r="C26" s="162"/>
      <c r="D26" s="163"/>
      <c r="E26" s="164"/>
      <c r="F26" s="164"/>
      <c r="G26" s="164"/>
      <c r="H26" s="162"/>
      <c r="I26" s="164"/>
      <c r="J26" s="164"/>
      <c r="K26" s="164"/>
      <c r="L26" s="164"/>
      <c r="M26" s="164"/>
      <c r="N26" s="164"/>
      <c r="O26" s="164"/>
      <c r="P26" s="164"/>
      <c r="Q26" s="49"/>
      <c r="R26" s="54"/>
      <c r="S26" s="165"/>
    </row>
    <row r="27" spans="1:27">
      <c r="A27" s="54"/>
      <c r="B27" s="161"/>
      <c r="C27" s="52"/>
      <c r="D27" s="166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54"/>
      <c r="S27" s="165"/>
    </row>
    <row r="28" spans="1:27">
      <c r="A28" s="54"/>
      <c r="B28" s="161"/>
      <c r="C28" s="167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165"/>
    </row>
    <row r="29" spans="1:27">
      <c r="A29" s="54"/>
      <c r="B29" s="161"/>
      <c r="C29" s="167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165"/>
    </row>
    <row r="30" spans="1:27">
      <c r="A30" s="54"/>
      <c r="B30" s="161"/>
      <c r="C30" s="167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165"/>
    </row>
    <row r="31" spans="1:27">
      <c r="A31" s="54"/>
      <c r="B31" s="161"/>
      <c r="C31" s="167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165"/>
    </row>
    <row r="32" spans="1:27">
      <c r="A32" s="54"/>
      <c r="B32" s="161"/>
      <c r="C32" s="167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165"/>
    </row>
    <row r="33" spans="1:19">
      <c r="A33" s="54"/>
      <c r="B33" s="161"/>
      <c r="C33" s="167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165"/>
    </row>
    <row r="34" spans="1:19">
      <c r="A34" s="54"/>
      <c r="B34" s="161"/>
      <c r="C34" s="167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165"/>
    </row>
    <row r="35" spans="1:19">
      <c r="A35" s="54"/>
      <c r="B35" s="161"/>
      <c r="C35" s="167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165"/>
    </row>
    <row r="36" spans="1:19">
      <c r="A36" s="54"/>
      <c r="B36" s="161"/>
      <c r="C36" s="168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165"/>
    </row>
    <row r="37" spans="1:19">
      <c r="A37" s="54"/>
      <c r="B37" s="161"/>
      <c r="C37" s="168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165"/>
    </row>
    <row r="38" spans="1:19">
      <c r="A38" s="54"/>
      <c r="B38" s="161"/>
      <c r="C38" s="168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165"/>
    </row>
    <row r="39" spans="1:19">
      <c r="A39" s="54"/>
      <c r="B39" s="161"/>
      <c r="C39" s="168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165"/>
    </row>
    <row r="40" spans="1:19">
      <c r="A40" s="54"/>
      <c r="B40" s="161"/>
      <c r="C40" s="168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165"/>
    </row>
    <row r="41" spans="1:19">
      <c r="A41" s="54"/>
      <c r="B41" s="161"/>
      <c r="C41" s="168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165"/>
    </row>
    <row r="42" spans="1:19">
      <c r="A42" s="54"/>
      <c r="B42" s="161"/>
      <c r="C42" s="168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165"/>
    </row>
    <row r="43" spans="1:19">
      <c r="A43" s="54"/>
      <c r="B43" s="161"/>
      <c r="C43" s="168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165"/>
    </row>
    <row r="44" spans="1:19">
      <c r="A44" s="54"/>
      <c r="B44" s="161"/>
      <c r="C44" s="168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165"/>
    </row>
    <row r="45" spans="1:19">
      <c r="A45" s="54"/>
      <c r="B45" s="161"/>
      <c r="C45" s="168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165"/>
    </row>
    <row r="46" spans="1:19">
      <c r="A46" s="54"/>
      <c r="B46" s="161"/>
      <c r="C46" s="168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165"/>
    </row>
    <row r="47" spans="1:19">
      <c r="A47" s="54"/>
      <c r="B47" s="161"/>
      <c r="C47" s="168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165"/>
    </row>
    <row r="48" spans="1:19">
      <c r="A48" s="54"/>
      <c r="B48" s="161"/>
      <c r="C48" s="168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165"/>
    </row>
    <row r="49" spans="1:19">
      <c r="A49" s="54"/>
      <c r="B49" s="161"/>
      <c r="C49" s="16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165"/>
    </row>
    <row r="50" spans="1:19">
      <c r="A50" s="54"/>
      <c r="B50" s="161"/>
      <c r="C50" s="168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165"/>
    </row>
    <row r="51" spans="1:19">
      <c r="A51" s="54"/>
      <c r="B51" s="161"/>
      <c r="C51" s="168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165"/>
    </row>
    <row r="52" spans="1:19">
      <c r="A52" s="54"/>
      <c r="B52" s="161"/>
      <c r="C52" s="168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165"/>
    </row>
    <row r="53" spans="1:19">
      <c r="A53" s="54"/>
      <c r="B53" s="161"/>
      <c r="C53" s="168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165"/>
    </row>
    <row r="54" spans="1:19">
      <c r="A54" s="54"/>
      <c r="B54" s="161"/>
      <c r="C54" s="168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165"/>
    </row>
    <row r="55" spans="1:19">
      <c r="A55" s="54"/>
      <c r="B55" s="161"/>
      <c r="C55" s="168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165"/>
    </row>
    <row r="56" spans="1:19">
      <c r="A56" s="54"/>
      <c r="B56" s="161"/>
      <c r="C56" s="168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165"/>
    </row>
    <row r="57" spans="1:19">
      <c r="A57" s="54"/>
      <c r="B57" s="161"/>
      <c r="C57" s="168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165"/>
    </row>
    <row r="58" spans="1:19">
      <c r="A58" s="54"/>
      <c r="B58" s="161"/>
      <c r="C58" s="168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165"/>
    </row>
    <row r="59" spans="1:19">
      <c r="A59" s="54"/>
      <c r="B59" s="161"/>
      <c r="C59" s="168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165"/>
    </row>
    <row r="60" spans="1:19">
      <c r="A60" s="54"/>
      <c r="B60" s="161"/>
      <c r="C60" s="168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165"/>
    </row>
    <row r="61" spans="1:19">
      <c r="A61" s="54"/>
      <c r="B61" s="161"/>
      <c r="C61" s="168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165"/>
    </row>
    <row r="62" spans="1:19">
      <c r="A62" s="54"/>
      <c r="B62" s="161"/>
      <c r="C62" s="168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165"/>
    </row>
    <row r="63" spans="1:19">
      <c r="A63" s="54"/>
      <c r="B63" s="161"/>
      <c r="C63" s="168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165"/>
    </row>
    <row r="64" spans="1:19">
      <c r="A64" s="54"/>
      <c r="B64" s="161"/>
      <c r="C64" s="168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165"/>
    </row>
    <row r="65" spans="1:19">
      <c r="A65" s="54"/>
      <c r="B65" s="161"/>
      <c r="C65" s="168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165"/>
    </row>
    <row r="66" spans="1:19">
      <c r="A66" s="54"/>
      <c r="B66" s="161"/>
      <c r="C66" s="168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165"/>
    </row>
    <row r="67" spans="1:19">
      <c r="A67" s="54"/>
      <c r="B67" s="161"/>
      <c r="C67" s="168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165"/>
    </row>
    <row r="68" spans="1:19">
      <c r="A68" s="54"/>
      <c r="B68" s="161"/>
      <c r="C68" s="168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165"/>
    </row>
    <row r="69" spans="1:19">
      <c r="A69" s="54"/>
      <c r="B69" s="161"/>
      <c r="C69" s="168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165"/>
    </row>
    <row r="70" spans="1:19">
      <c r="A70" s="54"/>
      <c r="B70" s="161"/>
      <c r="C70" s="168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165"/>
    </row>
    <row r="71" spans="1:19">
      <c r="A71" s="54"/>
      <c r="B71" s="161"/>
      <c r="C71" s="168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165"/>
    </row>
    <row r="72" spans="1:19">
      <c r="A72" s="54"/>
      <c r="B72" s="161"/>
      <c r="C72" s="168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165"/>
    </row>
    <row r="73" spans="1:19">
      <c r="A73" s="54"/>
      <c r="B73" s="161"/>
      <c r="C73" s="168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165"/>
    </row>
    <row r="74" spans="1:19">
      <c r="A74" s="54"/>
      <c r="B74" s="161"/>
      <c r="C74" s="168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165"/>
    </row>
    <row r="75" spans="1:19">
      <c r="A75" s="54"/>
      <c r="B75" s="161"/>
      <c r="C75" s="168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165"/>
    </row>
    <row r="76" spans="1:19">
      <c r="A76" s="54"/>
      <c r="B76" s="161"/>
      <c r="C76" s="168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165"/>
    </row>
    <row r="77" spans="1:19">
      <c r="A77" s="54"/>
      <c r="B77" s="161"/>
      <c r="C77" s="168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165"/>
    </row>
    <row r="78" spans="1:19">
      <c r="A78" s="54"/>
      <c r="B78" s="161"/>
      <c r="C78" s="168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165"/>
    </row>
    <row r="79" spans="1:19">
      <c r="A79" s="54"/>
      <c r="B79" s="161"/>
      <c r="C79" s="168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165"/>
    </row>
    <row r="80" spans="1:19">
      <c r="A80" s="54"/>
      <c r="B80" s="161"/>
      <c r="C80" s="168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165"/>
    </row>
    <row r="81" spans="1:19">
      <c r="A81" s="54"/>
      <c r="B81" s="161"/>
      <c r="C81" s="168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165"/>
    </row>
    <row r="82" spans="1:19">
      <c r="A82" s="54"/>
      <c r="B82" s="161"/>
      <c r="C82" s="168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165"/>
    </row>
    <row r="83" spans="1:19">
      <c r="A83" s="54"/>
      <c r="B83" s="161"/>
      <c r="C83" s="168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165"/>
    </row>
    <row r="84" spans="1:19">
      <c r="A84" s="54"/>
      <c r="B84" s="161"/>
      <c r="C84" s="168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165"/>
    </row>
    <row r="85" spans="1:19">
      <c r="A85" s="54"/>
      <c r="B85" s="161"/>
      <c r="C85" s="168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165"/>
    </row>
    <row r="86" spans="1:19">
      <c r="A86" s="54"/>
      <c r="B86" s="161"/>
      <c r="C86" s="168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165"/>
    </row>
    <row r="87" spans="1:19">
      <c r="A87" s="54"/>
      <c r="B87" s="161"/>
      <c r="C87" s="168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165"/>
    </row>
    <row r="88" spans="1:19">
      <c r="A88" s="54"/>
      <c r="B88" s="161"/>
      <c r="C88" s="168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165"/>
    </row>
    <row r="89" spans="1:19">
      <c r="A89" s="54"/>
      <c r="B89" s="161"/>
      <c r="C89" s="168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165"/>
    </row>
    <row r="90" spans="1:19">
      <c r="A90" s="54"/>
      <c r="B90" s="161"/>
      <c r="C90" s="168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165"/>
    </row>
    <row r="91" spans="1:19">
      <c r="A91" s="54"/>
      <c r="B91" s="161"/>
      <c r="C91" s="168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165"/>
    </row>
    <row r="92" spans="1:19">
      <c r="A92" s="54"/>
      <c r="B92" s="161"/>
      <c r="C92" s="168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165"/>
    </row>
    <row r="93" spans="1:19">
      <c r="A93" s="54"/>
      <c r="B93" s="161"/>
      <c r="C93" s="168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165"/>
    </row>
    <row r="94" spans="1:19">
      <c r="A94" s="54"/>
      <c r="B94" s="161"/>
      <c r="C94" s="168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165"/>
    </row>
    <row r="95" spans="1:19">
      <c r="A95" s="54"/>
      <c r="B95" s="161"/>
      <c r="C95" s="169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165"/>
    </row>
    <row r="96" spans="1:19">
      <c r="A96" s="54"/>
      <c r="B96" s="161"/>
      <c r="C96" s="169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165"/>
    </row>
    <row r="97" spans="1:19">
      <c r="A97" s="54"/>
      <c r="B97" s="161"/>
      <c r="C97" s="169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165"/>
    </row>
    <row r="98" spans="1:19">
      <c r="A98" s="54"/>
      <c r="B98" s="161"/>
      <c r="C98" s="169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165"/>
    </row>
    <row r="99" spans="1:19">
      <c r="A99" s="54"/>
      <c r="B99" s="161"/>
      <c r="C99" s="169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165"/>
    </row>
    <row r="100" spans="1:19">
      <c r="A100" s="54"/>
      <c r="B100" s="161"/>
      <c r="C100" s="169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165"/>
    </row>
    <row r="101" spans="1:19">
      <c r="A101" s="54"/>
      <c r="B101" s="161"/>
      <c r="C101" s="169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165"/>
    </row>
    <row r="102" spans="1:19">
      <c r="A102" s="54"/>
      <c r="B102" s="161"/>
      <c r="C102" s="169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165"/>
    </row>
    <row r="103" spans="1:19">
      <c r="A103" s="54"/>
      <c r="B103" s="161"/>
      <c r="C103" s="169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165"/>
    </row>
    <row r="104" spans="1:19">
      <c r="A104" s="54"/>
      <c r="B104" s="161"/>
      <c r="C104" s="169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165"/>
    </row>
    <row r="105" spans="1:19">
      <c r="A105" s="54"/>
      <c r="B105" s="161"/>
      <c r="C105" s="169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165"/>
    </row>
    <row r="106" spans="1:19">
      <c r="A106" s="54"/>
      <c r="B106" s="161"/>
      <c r="C106" s="169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165"/>
    </row>
    <row r="107" spans="1:19">
      <c r="A107" s="54"/>
      <c r="B107" s="161"/>
      <c r="C107" s="169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165"/>
    </row>
    <row r="108" spans="1:19">
      <c r="A108" s="54"/>
      <c r="B108" s="161"/>
      <c r="C108" s="169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165"/>
    </row>
    <row r="109" spans="1:19">
      <c r="A109" s="54"/>
      <c r="B109" s="161"/>
      <c r="C109" s="169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165"/>
    </row>
    <row r="110" spans="1:19">
      <c r="A110" s="54"/>
      <c r="B110" s="161"/>
      <c r="C110" s="169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165"/>
    </row>
    <row r="111" spans="1:19">
      <c r="A111" s="54"/>
      <c r="B111" s="161"/>
      <c r="C111" s="169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165"/>
    </row>
    <row r="112" spans="1:19">
      <c r="A112" s="54"/>
      <c r="B112" s="161"/>
      <c r="C112" s="169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165"/>
    </row>
    <row r="113" spans="1:19">
      <c r="A113" s="54"/>
      <c r="B113" s="161"/>
      <c r="C113" s="169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165"/>
    </row>
    <row r="114" spans="1:19">
      <c r="A114" s="54"/>
      <c r="B114" s="161"/>
      <c r="C114" s="169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165"/>
    </row>
    <row r="115" spans="1:19">
      <c r="A115" s="54"/>
      <c r="B115" s="161"/>
      <c r="C115" s="169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165"/>
    </row>
    <row r="116" spans="1:19">
      <c r="A116" s="54"/>
      <c r="B116" s="161"/>
      <c r="C116" s="169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165"/>
    </row>
    <row r="117" spans="1:19">
      <c r="A117" s="54"/>
      <c r="B117" s="161"/>
      <c r="C117" s="169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165"/>
    </row>
    <row r="118" spans="1:19">
      <c r="A118" s="54"/>
      <c r="B118" s="161"/>
      <c r="C118" s="169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165"/>
    </row>
    <row r="119" spans="1:19">
      <c r="A119" s="54"/>
      <c r="B119" s="161"/>
      <c r="C119" s="169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165"/>
    </row>
    <row r="120" spans="1:19">
      <c r="A120" s="54"/>
      <c r="B120" s="161"/>
      <c r="C120" s="169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165"/>
    </row>
    <row r="121" spans="1:19">
      <c r="A121" s="54"/>
      <c r="B121" s="161"/>
      <c r="C121" s="169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165"/>
    </row>
    <row r="122" spans="1:19">
      <c r="A122" s="54"/>
      <c r="B122" s="161"/>
      <c r="C122" s="169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165"/>
    </row>
    <row r="123" spans="1:19">
      <c r="A123" s="54"/>
      <c r="B123" s="161"/>
      <c r="C123" s="169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165"/>
    </row>
    <row r="124" spans="1:19">
      <c r="A124" s="54"/>
      <c r="B124" s="161"/>
      <c r="C124" s="169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165"/>
    </row>
    <row r="125" spans="1:19">
      <c r="A125" s="54"/>
      <c r="B125" s="161"/>
      <c r="C125" s="169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165"/>
    </row>
    <row r="126" spans="1:19">
      <c r="A126" s="54"/>
      <c r="B126" s="161"/>
      <c r="C126" s="169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165"/>
    </row>
    <row r="127" spans="1:19">
      <c r="A127" s="54"/>
      <c r="B127" s="161"/>
      <c r="C127" s="169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165"/>
    </row>
    <row r="128" spans="1:19">
      <c r="A128" s="54"/>
      <c r="B128" s="161"/>
      <c r="C128" s="169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165"/>
    </row>
    <row r="129" spans="1:19">
      <c r="A129" s="54"/>
      <c r="B129" s="161"/>
      <c r="C129" s="169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165"/>
    </row>
    <row r="130" spans="1:19">
      <c r="B130" s="161"/>
      <c r="C130" s="169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165"/>
    </row>
    <row r="131" spans="1:19">
      <c r="B131" s="161"/>
      <c r="C131" s="169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165"/>
    </row>
    <row r="132" spans="1:19">
      <c r="B132" s="161"/>
      <c r="C132" s="169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54"/>
      <c r="S132" s="165"/>
    </row>
    <row r="133" spans="1:19">
      <c r="B133" s="161"/>
      <c r="C133" s="169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54"/>
      <c r="S133" s="165"/>
    </row>
    <row r="134" spans="1:19">
      <c r="B134" s="161"/>
      <c r="C134" s="169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54"/>
      <c r="S134" s="165"/>
    </row>
    <row r="135" spans="1:19">
      <c r="B135" s="161"/>
      <c r="C135" s="169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54"/>
      <c r="S135" s="165"/>
    </row>
    <row r="136" spans="1:19">
      <c r="B136" s="161"/>
      <c r="C136" s="169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54"/>
      <c r="S136" s="165"/>
    </row>
    <row r="137" spans="1:19">
      <c r="B137" s="161"/>
      <c r="C137" s="169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54"/>
      <c r="S137" s="165"/>
    </row>
    <row r="138" spans="1:19">
      <c r="B138" s="161"/>
      <c r="C138" s="169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54"/>
      <c r="S138" s="165"/>
    </row>
    <row r="139" spans="1:19">
      <c r="B139" s="161"/>
      <c r="C139" s="169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54"/>
      <c r="S139" s="165"/>
    </row>
    <row r="140" spans="1:19">
      <c r="B140" s="161"/>
      <c r="C140" s="169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54"/>
      <c r="S140" s="165"/>
    </row>
    <row r="141" spans="1:19">
      <c r="B141" s="161"/>
      <c r="C141" s="169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54"/>
      <c r="S141" s="165"/>
    </row>
    <row r="142" spans="1:19">
      <c r="B142" s="161"/>
      <c r="C142" s="169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54"/>
      <c r="S142" s="165"/>
    </row>
    <row r="143" spans="1:19">
      <c r="B143" s="161"/>
      <c r="C143" s="169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54"/>
      <c r="S143" s="165"/>
    </row>
    <row r="144" spans="1:19">
      <c r="B144" s="161"/>
      <c r="C144" s="169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54"/>
      <c r="S144" s="165"/>
    </row>
    <row r="145" spans="2:19">
      <c r="B145" s="161"/>
      <c r="C145" s="169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54"/>
      <c r="S145" s="165"/>
    </row>
    <row r="146" spans="2:19">
      <c r="B146" s="161"/>
      <c r="C146" s="169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54"/>
      <c r="S146" s="165"/>
    </row>
    <row r="147" spans="2:19">
      <c r="B147" s="161"/>
      <c r="C147" s="169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54"/>
      <c r="S147" s="165"/>
    </row>
    <row r="148" spans="2:19">
      <c r="B148" s="161"/>
      <c r="C148" s="169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54"/>
      <c r="S148" s="165"/>
    </row>
    <row r="149" spans="2:19">
      <c r="B149" s="161"/>
      <c r="C149" s="169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54"/>
      <c r="S149" s="165"/>
    </row>
    <row r="150" spans="2:19">
      <c r="B150" s="161"/>
      <c r="C150" s="169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54"/>
      <c r="S150" s="165"/>
    </row>
    <row r="151" spans="2:19">
      <c r="B151" s="161"/>
      <c r="C151" s="169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54"/>
      <c r="S151" s="165"/>
    </row>
    <row r="152" spans="2:19">
      <c r="B152" s="161"/>
      <c r="C152" s="169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54"/>
      <c r="S152" s="165"/>
    </row>
    <row r="153" spans="2:19">
      <c r="B153" s="161"/>
      <c r="C153" s="169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54"/>
      <c r="S153" s="165"/>
    </row>
    <row r="154" spans="2:19">
      <c r="B154" s="161"/>
      <c r="C154" s="169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54"/>
      <c r="S154" s="165"/>
    </row>
    <row r="155" spans="2:19">
      <c r="B155" s="161"/>
      <c r="C155" s="169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54"/>
      <c r="S155" s="165"/>
    </row>
    <row r="156" spans="2:19">
      <c r="B156" s="161"/>
      <c r="C156" s="169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54"/>
      <c r="S156" s="165"/>
    </row>
    <row r="157" spans="2:19">
      <c r="B157" s="161"/>
      <c r="C157" s="169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54"/>
      <c r="S157" s="165"/>
    </row>
    <row r="158" spans="2:19">
      <c r="B158" s="161"/>
      <c r="C158" s="169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54"/>
      <c r="S158" s="165"/>
    </row>
    <row r="159" spans="2:19">
      <c r="B159" s="171"/>
      <c r="C159" s="169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54"/>
      <c r="S159" s="165"/>
    </row>
    <row r="160" spans="2:19">
      <c r="B160" s="171"/>
      <c r="C160" s="169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54"/>
      <c r="S160" s="165"/>
    </row>
    <row r="161" spans="2:19">
      <c r="B161" s="171"/>
      <c r="C161" s="169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54"/>
      <c r="S161" s="165"/>
    </row>
    <row r="162" spans="2:19">
      <c r="B162" s="171"/>
      <c r="C162" s="169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54"/>
      <c r="S162" s="165"/>
    </row>
    <row r="163" spans="2:19">
      <c r="B163" s="171"/>
      <c r="C163" s="169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54"/>
      <c r="S163" s="165"/>
    </row>
    <row r="164" spans="2:19">
      <c r="B164" s="171"/>
      <c r="C164" s="169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54"/>
      <c r="S164" s="165"/>
    </row>
    <row r="165" spans="2:19">
      <c r="B165" s="171"/>
      <c r="C165" s="169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54"/>
      <c r="S165" s="165"/>
    </row>
    <row r="166" spans="2:19">
      <c r="B166" s="171"/>
      <c r="C166" s="169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54"/>
      <c r="S166" s="165"/>
    </row>
    <row r="167" spans="2:19">
      <c r="B167" s="171"/>
      <c r="C167" s="169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54"/>
      <c r="S167" s="165"/>
    </row>
    <row r="168" spans="2:19">
      <c r="B168" s="171"/>
      <c r="C168" s="169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54"/>
      <c r="S168" s="165"/>
    </row>
    <row r="169" spans="2:19">
      <c r="B169" s="171"/>
      <c r="C169" s="169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54"/>
      <c r="S169" s="165"/>
    </row>
    <row r="170" spans="2:19">
      <c r="B170" s="171"/>
      <c r="C170" s="169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54"/>
      <c r="S170" s="165"/>
    </row>
    <row r="171" spans="2:19">
      <c r="B171" s="171"/>
      <c r="C171" s="169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54"/>
      <c r="S171" s="165"/>
    </row>
    <row r="172" spans="2:19">
      <c r="B172" s="171"/>
      <c r="C172" s="169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54"/>
      <c r="S172" s="165"/>
    </row>
    <row r="173" spans="2:19">
      <c r="B173" s="171"/>
      <c r="C173" s="169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54"/>
      <c r="S173" s="165"/>
    </row>
    <row r="174" spans="2:19">
      <c r="B174" s="171"/>
      <c r="C174" s="169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54"/>
      <c r="S174" s="165"/>
    </row>
    <row r="175" spans="2:19">
      <c r="B175" s="171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54"/>
      <c r="S175" s="165"/>
    </row>
    <row r="176" spans="2:19">
      <c r="B176" s="171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54"/>
      <c r="S176" s="165"/>
    </row>
    <row r="177" spans="2:19">
      <c r="B177" s="171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54"/>
      <c r="S177" s="165"/>
    </row>
    <row r="178" spans="2:19">
      <c r="B178" s="171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54"/>
      <c r="S178" s="165"/>
    </row>
    <row r="179" spans="2:19">
      <c r="B179" s="171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54"/>
      <c r="S179" s="165"/>
    </row>
    <row r="180" spans="2:19">
      <c r="B180" s="171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54"/>
      <c r="S180" s="165"/>
    </row>
    <row r="181" spans="2:19">
      <c r="B181" s="171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54"/>
      <c r="S181" s="165"/>
    </row>
    <row r="182" spans="2:19">
      <c r="B182" s="171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54"/>
      <c r="S182" s="165"/>
    </row>
    <row r="183" spans="2:19">
      <c r="B183" s="171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54"/>
      <c r="S183" s="165"/>
    </row>
    <row r="184" spans="2:19">
      <c r="B184" s="171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54"/>
      <c r="S184" s="165"/>
    </row>
    <row r="185" spans="2:19">
      <c r="B185" s="171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54"/>
      <c r="S185" s="165"/>
    </row>
    <row r="186" spans="2:19">
      <c r="B186" s="171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54"/>
      <c r="S186" s="165"/>
    </row>
    <row r="187" spans="2:19">
      <c r="B187" s="171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54"/>
      <c r="S187" s="165"/>
    </row>
    <row r="188" spans="2:19">
      <c r="B188" s="171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54"/>
      <c r="S188" s="165"/>
    </row>
    <row r="189" spans="2:19">
      <c r="B189" s="171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54"/>
      <c r="S189" s="165"/>
    </row>
    <row r="190" spans="2:19">
      <c r="B190" s="171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54"/>
      <c r="S190" s="165"/>
    </row>
    <row r="191" spans="2:19">
      <c r="B191" s="171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54"/>
      <c r="S191" s="165"/>
    </row>
    <row r="192" spans="2:19">
      <c r="B192" s="171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54"/>
      <c r="S192" s="165"/>
    </row>
    <row r="193" spans="2:19">
      <c r="B193" s="171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54"/>
      <c r="S193" s="165"/>
    </row>
    <row r="194" spans="2:19">
      <c r="B194" s="171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54"/>
      <c r="S194" s="165"/>
    </row>
    <row r="195" spans="2:19">
      <c r="B195" s="171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54"/>
      <c r="S195" s="165"/>
    </row>
    <row r="196" spans="2:19">
      <c r="B196" s="171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54"/>
      <c r="S196" s="165"/>
    </row>
    <row r="197" spans="2:19">
      <c r="B197" s="171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54"/>
      <c r="S197" s="165"/>
    </row>
    <row r="198" spans="2:19">
      <c r="B198" s="171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54"/>
      <c r="S198" s="165"/>
    </row>
    <row r="199" spans="2:19">
      <c r="B199" s="171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54"/>
      <c r="S199" s="165"/>
    </row>
    <row r="200" spans="2:19">
      <c r="B200" s="171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54"/>
      <c r="S200" s="165"/>
    </row>
    <row r="201" spans="2:19">
      <c r="B201" s="171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54"/>
      <c r="S201" s="165"/>
    </row>
    <row r="202" spans="2:19">
      <c r="B202" s="171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54"/>
      <c r="S202" s="165"/>
    </row>
    <row r="203" spans="2:19">
      <c r="B203" s="171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54"/>
      <c r="S203" s="165"/>
    </row>
    <row r="204" spans="2:19">
      <c r="B204" s="171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54"/>
      <c r="S204" s="165"/>
    </row>
    <row r="205" spans="2:19">
      <c r="B205" s="171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54"/>
      <c r="S205" s="165"/>
    </row>
    <row r="206" spans="2:19">
      <c r="B206" s="171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54"/>
      <c r="S206" s="165"/>
    </row>
    <row r="207" spans="2:19">
      <c r="B207" s="171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54"/>
      <c r="S207" s="165"/>
    </row>
    <row r="208" spans="2:19">
      <c r="B208" s="171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54"/>
      <c r="S208" s="165"/>
    </row>
    <row r="209" spans="2:19">
      <c r="B209" s="171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54"/>
      <c r="S209" s="165"/>
    </row>
    <row r="210" spans="2:19">
      <c r="B210" s="171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54"/>
      <c r="S210" s="165"/>
    </row>
    <row r="211" spans="2:19">
      <c r="B211" s="171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54"/>
      <c r="S211" s="165"/>
    </row>
    <row r="212" spans="2:19">
      <c r="B212" s="171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54"/>
      <c r="S212" s="165"/>
    </row>
    <row r="213" spans="2:19">
      <c r="B213" s="171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54"/>
      <c r="S213" s="165"/>
    </row>
    <row r="214" spans="2:19">
      <c r="B214" s="171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54"/>
      <c r="S214" s="165"/>
    </row>
    <row r="215" spans="2:19">
      <c r="B215" s="171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54"/>
      <c r="S215" s="165"/>
    </row>
    <row r="216" spans="2:19">
      <c r="B216" s="171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54"/>
      <c r="S216" s="165"/>
    </row>
    <row r="217" spans="2:19">
      <c r="B217" s="171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54"/>
      <c r="S217" s="165"/>
    </row>
    <row r="218" spans="2:19">
      <c r="B218" s="171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54"/>
      <c r="S218" s="165"/>
    </row>
    <row r="219" spans="2:19">
      <c r="B219" s="171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54"/>
      <c r="S219" s="165"/>
    </row>
    <row r="220" spans="2:19">
      <c r="B220" s="171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54"/>
      <c r="S220" s="165"/>
    </row>
    <row r="221" spans="2:19">
      <c r="B221" s="171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54"/>
      <c r="S221" s="165"/>
    </row>
    <row r="222" spans="2:19">
      <c r="B222" s="171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54"/>
      <c r="S222" s="165"/>
    </row>
    <row r="223" spans="2:19">
      <c r="B223" s="171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54"/>
      <c r="S223" s="165"/>
    </row>
    <row r="224" spans="2:19">
      <c r="B224" s="171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54"/>
      <c r="S224" s="165"/>
    </row>
    <row r="225" spans="2:19">
      <c r="B225" s="171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54"/>
      <c r="S225" s="165"/>
    </row>
    <row r="226" spans="2:19">
      <c r="B226" s="171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54"/>
      <c r="S226" s="165"/>
    </row>
    <row r="227" spans="2:19">
      <c r="B227" s="171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54"/>
      <c r="S227" s="165"/>
    </row>
    <row r="228" spans="2:19">
      <c r="B228" s="171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54"/>
      <c r="S228" s="165"/>
    </row>
    <row r="229" spans="2:19">
      <c r="B229" s="171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54"/>
      <c r="S229" s="165"/>
    </row>
    <row r="230" spans="2:19">
      <c r="B230" s="171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54"/>
      <c r="S230" s="165"/>
    </row>
    <row r="231" spans="2:19">
      <c r="B231" s="171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54"/>
      <c r="S231" s="165"/>
    </row>
    <row r="232" spans="2:19">
      <c r="B232" s="171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54"/>
      <c r="S232" s="165"/>
    </row>
    <row r="233" spans="2:19">
      <c r="B233" s="171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54"/>
      <c r="S233" s="165"/>
    </row>
    <row r="234" spans="2:19">
      <c r="B234" s="171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54"/>
    </row>
    <row r="235" spans="2:19">
      <c r="B235" s="171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54"/>
    </row>
    <row r="236" spans="2:19">
      <c r="B236" s="171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</row>
    <row r="237" spans="2:19">
      <c r="B237" s="171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</row>
    <row r="238" spans="2:19">
      <c r="B238" s="171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</row>
    <row r="239" spans="2:19">
      <c r="B239" s="171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</row>
    <row r="240" spans="2:19">
      <c r="B240" s="171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</row>
    <row r="241" spans="2:18">
      <c r="B241" s="171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</row>
    <row r="242" spans="2:18">
      <c r="B242" s="171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</row>
    <row r="243" spans="2:18">
      <c r="B243" s="171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</row>
    <row r="244" spans="2:18">
      <c r="B244" s="171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</row>
    <row r="245" spans="2:18">
      <c r="B245" s="171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</row>
    <row r="246" spans="2:18">
      <c r="B246" s="171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</row>
    <row r="247" spans="2:18">
      <c r="B247" s="171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</row>
    <row r="248" spans="2:18">
      <c r="B248" s="171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</row>
    <row r="249" spans="2:18">
      <c r="B249" s="171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</row>
    <row r="250" spans="2:18">
      <c r="B250" s="171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</row>
    <row r="251" spans="2:18">
      <c r="B251" s="171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</row>
    <row r="252" spans="2:18">
      <c r="B252" s="171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</row>
    <row r="253" spans="2:18">
      <c r="B253" s="171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</row>
    <row r="254" spans="2:18">
      <c r="B254" s="171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</row>
    <row r="255" spans="2:18">
      <c r="B255" s="171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</row>
    <row r="256" spans="2:18">
      <c r="B256" s="171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</row>
    <row r="257" spans="2:18">
      <c r="B257" s="171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</row>
    <row r="258" spans="2:18">
      <c r="B258" s="171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</row>
    <row r="259" spans="2:18">
      <c r="B259" s="171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</row>
    <row r="260" spans="2:18">
      <c r="B260" s="171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</row>
    <row r="261" spans="2:18">
      <c r="B261" s="171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</row>
    <row r="262" spans="2:18">
      <c r="B262" s="171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</row>
    <row r="263" spans="2:18">
      <c r="B263" s="171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</row>
    <row r="264" spans="2:18">
      <c r="B264" s="171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</row>
    <row r="265" spans="2:18">
      <c r="B265" s="171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</row>
    <row r="266" spans="2:18">
      <c r="B266" s="171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</row>
    <row r="267" spans="2:18">
      <c r="B267" s="171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</row>
    <row r="268" spans="2:18">
      <c r="B268" s="171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</row>
    <row r="269" spans="2:18">
      <c r="B269" s="171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</row>
    <row r="270" spans="2:18">
      <c r="B270" s="171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</row>
    <row r="271" spans="2:18">
      <c r="B271" s="171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</row>
    <row r="272" spans="2:18">
      <c r="B272" s="171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</row>
    <row r="273" spans="2:18">
      <c r="B273" s="171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</row>
    <row r="274" spans="2:18">
      <c r="B274" s="171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</row>
    <row r="275" spans="2:18">
      <c r="B275" s="171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</row>
    <row r="276" spans="2:18">
      <c r="B276" s="171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</row>
    <row r="277" spans="2:18">
      <c r="B277" s="171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</row>
    <row r="278" spans="2:18">
      <c r="B278" s="171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</row>
    <row r="279" spans="2:18">
      <c r="B279" s="171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</row>
    <row r="280" spans="2:18">
      <c r="B280" s="171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</row>
    <row r="281" spans="2:18">
      <c r="B281" s="171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</row>
    <row r="282" spans="2:18">
      <c r="B282" s="171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</row>
    <row r="283" spans="2:18">
      <c r="B283" s="171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</row>
    <row r="284" spans="2:18">
      <c r="B284" s="171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</row>
    <row r="285" spans="2:18">
      <c r="B285" s="171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</row>
    <row r="286" spans="2:18">
      <c r="B286" s="171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</row>
    <row r="287" spans="2:18">
      <c r="B287" s="171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</row>
    <row r="288" spans="2:18">
      <c r="B288" s="171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</row>
    <row r="289" spans="2:18">
      <c r="B289" s="171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</row>
    <row r="290" spans="2:18">
      <c r="B290" s="171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</row>
    <row r="291" spans="2:18">
      <c r="B291" s="171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</row>
    <row r="292" spans="2:18">
      <c r="B292" s="171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</row>
    <row r="293" spans="2:18">
      <c r="B293" s="171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</row>
    <row r="294" spans="2:18">
      <c r="B294" s="171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</row>
    <row r="295" spans="2:18">
      <c r="B295" s="171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</row>
    <row r="296" spans="2:18">
      <c r="B296" s="171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</row>
    <row r="297" spans="2:18">
      <c r="B297" s="171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</row>
    <row r="298" spans="2:18">
      <c r="B298" s="171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</row>
    <row r="299" spans="2:18">
      <c r="B299" s="171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</row>
    <row r="300" spans="2:18">
      <c r="B300" s="171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</row>
    <row r="301" spans="2:18">
      <c r="B301" s="171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</row>
    <row r="302" spans="2:18">
      <c r="B302" s="171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</row>
    <row r="303" spans="2:18">
      <c r="B303" s="171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</row>
    <row r="304" spans="2:18">
      <c r="B304" s="171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</row>
    <row r="305" spans="2:18">
      <c r="B305" s="171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</row>
    <row r="306" spans="2:18">
      <c r="B306" s="171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</row>
    <row r="307" spans="2:18">
      <c r="B307" s="171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</row>
    <row r="308" spans="2:18">
      <c r="B308" s="171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</row>
    <row r="309" spans="2:18">
      <c r="B309" s="171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</row>
    <row r="310" spans="2:18">
      <c r="B310" s="171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</row>
    <row r="311" spans="2:18">
      <c r="B311" s="171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</row>
    <row r="312" spans="2:18">
      <c r="B312" s="171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</row>
    <row r="313" spans="2:18">
      <c r="B313" s="171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</row>
    <row r="314" spans="2:18">
      <c r="B314" s="171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</row>
    <row r="315" spans="2:18">
      <c r="B315" s="171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</row>
    <row r="316" spans="2:18">
      <c r="B316" s="171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</row>
    <row r="317" spans="2:18">
      <c r="B317" s="171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</row>
    <row r="318" spans="2:18">
      <c r="B318" s="171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</row>
    <row r="319" spans="2:18">
      <c r="B319" s="171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</row>
    <row r="320" spans="2:18">
      <c r="B320" s="171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</row>
    <row r="321" spans="2:18">
      <c r="B321" s="171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</row>
    <row r="322" spans="2:18">
      <c r="B322" s="171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</row>
    <row r="323" spans="2:18">
      <c r="B323" s="171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</row>
    <row r="324" spans="2:18">
      <c r="B324" s="171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</row>
    <row r="325" spans="2:18">
      <c r="B325" s="171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</row>
    <row r="326" spans="2:18">
      <c r="B326" s="171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</row>
    <row r="327" spans="2:18">
      <c r="B327" s="171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</row>
    <row r="328" spans="2:18">
      <c r="B328" s="171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</row>
    <row r="329" spans="2:18">
      <c r="B329" s="171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</row>
    <row r="330" spans="2:18">
      <c r="B330" s="171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</row>
    <row r="331" spans="2:18">
      <c r="B331" s="171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</row>
    <row r="332" spans="2:18">
      <c r="B332" s="171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</row>
    <row r="333" spans="2:18">
      <c r="B333" s="171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</row>
    <row r="334" spans="2:18">
      <c r="B334" s="171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</row>
    <row r="335" spans="2:18">
      <c r="B335" s="171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</row>
    <row r="336" spans="2:18">
      <c r="B336" s="171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</row>
    <row r="337" spans="2:18">
      <c r="B337" s="171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</row>
    <row r="338" spans="2:18">
      <c r="B338" s="171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</row>
    <row r="339" spans="2:18">
      <c r="B339" s="171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</row>
    <row r="340" spans="2:18">
      <c r="B340" s="171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</row>
    <row r="341" spans="2:18">
      <c r="B341" s="171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</row>
    <row r="342" spans="2:18">
      <c r="B342" s="171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</row>
    <row r="343" spans="2:18">
      <c r="B343" s="171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</row>
    <row r="344" spans="2:18">
      <c r="B344" s="171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</row>
    <row r="345" spans="2:18">
      <c r="B345" s="171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</row>
    <row r="346" spans="2:18">
      <c r="B346" s="171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</row>
    <row r="347" spans="2:18">
      <c r="B347" s="171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</row>
    <row r="348" spans="2:18">
      <c r="B348" s="171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</row>
    <row r="349" spans="2:18">
      <c r="B349" s="171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</row>
    <row r="350" spans="2:18">
      <c r="B350" s="171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</row>
    <row r="351" spans="2:18">
      <c r="B351" s="171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</row>
    <row r="352" spans="2:18">
      <c r="B352" s="171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</row>
    <row r="353" spans="2:18">
      <c r="B353" s="171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</row>
    <row r="354" spans="2:18">
      <c r="B354" s="171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</row>
    <row r="355" spans="2:18">
      <c r="B355" s="171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</row>
    <row r="356" spans="2:18">
      <c r="B356" s="171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</row>
    <row r="357" spans="2:18">
      <c r="B357" s="171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</row>
    <row r="358" spans="2:18">
      <c r="B358" s="171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</row>
    <row r="359" spans="2:18">
      <c r="B359" s="171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</row>
    <row r="360" spans="2:18">
      <c r="B360" s="171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</row>
    <row r="361" spans="2:18">
      <c r="B361" s="171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</row>
    <row r="362" spans="2:18">
      <c r="B362" s="171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</row>
    <row r="363" spans="2:18">
      <c r="B363" s="171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</row>
    <row r="364" spans="2:18">
      <c r="B364" s="171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</row>
    <row r="365" spans="2:18">
      <c r="B365" s="171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</row>
    <row r="366" spans="2:18">
      <c r="B366" s="171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</row>
    <row r="367" spans="2:18">
      <c r="B367" s="171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</row>
    <row r="368" spans="2:18">
      <c r="B368" s="171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</row>
    <row r="369" spans="2:18">
      <c r="B369" s="171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</row>
    <row r="370" spans="2:18">
      <c r="B370" s="171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</row>
    <row r="371" spans="2:18">
      <c r="B371" s="171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</row>
    <row r="372" spans="2:18">
      <c r="B372" s="171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</row>
    <row r="373" spans="2:18">
      <c r="B373" s="171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</row>
    <row r="374" spans="2:18">
      <c r="B374" s="171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</row>
    <row r="375" spans="2:18">
      <c r="B375" s="171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</row>
    <row r="376" spans="2:18">
      <c r="B376" s="171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</row>
    <row r="377" spans="2:18">
      <c r="B377" s="171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</row>
    <row r="378" spans="2:18">
      <c r="B378" s="171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</row>
    <row r="379" spans="2:18">
      <c r="B379" s="171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</row>
    <row r="380" spans="2:18">
      <c r="B380" s="171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</row>
    <row r="381" spans="2:18">
      <c r="B381" s="171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</row>
    <row r="382" spans="2:18">
      <c r="B382" s="171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</row>
    <row r="383" spans="2:18">
      <c r="B383" s="171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</row>
    <row r="384" spans="2:18">
      <c r="B384" s="171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</row>
    <row r="385" spans="2:18">
      <c r="B385" s="171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</row>
    <row r="386" spans="2:18">
      <c r="B386" s="171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</row>
    <row r="387" spans="2:18">
      <c r="B387" s="171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</row>
    <row r="388" spans="2:18">
      <c r="B388" s="171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</row>
    <row r="389" spans="2:18">
      <c r="B389" s="171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</row>
    <row r="390" spans="2:18">
      <c r="B390" s="171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</row>
    <row r="391" spans="2:18">
      <c r="B391" s="171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</row>
    <row r="392" spans="2:18">
      <c r="B392" s="171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</row>
    <row r="393" spans="2:18">
      <c r="B393" s="171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</row>
    <row r="394" spans="2:18">
      <c r="B394" s="171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</row>
    <row r="395" spans="2:18">
      <c r="B395" s="171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</row>
    <row r="396" spans="2:18">
      <c r="B396" s="171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</row>
    <row r="397" spans="2:18">
      <c r="B397" s="171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</row>
    <row r="398" spans="2:18">
      <c r="B398" s="171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</row>
    <row r="399" spans="2:18">
      <c r="B399" s="171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</row>
    <row r="400" spans="2:18">
      <c r="B400" s="171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</row>
    <row r="401" spans="2:18">
      <c r="B401" s="171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</row>
    <row r="402" spans="2:18">
      <c r="B402" s="171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</row>
    <row r="403" spans="2:18">
      <c r="B403" s="171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</row>
    <row r="404" spans="2:18">
      <c r="B404" s="171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</row>
    <row r="405" spans="2:18">
      <c r="B405" s="171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</row>
    <row r="406" spans="2:18">
      <c r="B406" s="171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</row>
    <row r="407" spans="2:18">
      <c r="B407" s="171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</row>
    <row r="408" spans="2:18">
      <c r="B408" s="171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</row>
    <row r="409" spans="2:18">
      <c r="B409" s="171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</row>
    <row r="410" spans="2:18">
      <c r="B410" s="171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</row>
    <row r="411" spans="2:18">
      <c r="B411" s="171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</row>
    <row r="412" spans="2:18">
      <c r="B412" s="171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</row>
    <row r="413" spans="2:18">
      <c r="B413" s="171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</row>
    <row r="414" spans="2:18">
      <c r="B414" s="171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</row>
    <row r="415" spans="2:18">
      <c r="B415" s="171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</row>
    <row r="416" spans="2:18">
      <c r="B416" s="171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</row>
    <row r="417" spans="2:18">
      <c r="B417" s="171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</row>
    <row r="418" spans="2:18">
      <c r="B418" s="171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</row>
    <row r="419" spans="2:18">
      <c r="B419" s="171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</row>
    <row r="420" spans="2:18">
      <c r="B420" s="171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</row>
    <row r="421" spans="2:18">
      <c r="B421" s="171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</row>
    <row r="422" spans="2:18">
      <c r="B422" s="171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</row>
    <row r="423" spans="2:18">
      <c r="B423" s="171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</row>
    <row r="424" spans="2:18">
      <c r="B424" s="171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</row>
    <row r="425" spans="2:18">
      <c r="B425" s="171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</row>
    <row r="426" spans="2:18">
      <c r="B426" s="171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</row>
    <row r="427" spans="2:18">
      <c r="B427" s="171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</row>
    <row r="428" spans="2:18">
      <c r="B428" s="171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</row>
    <row r="429" spans="2:18">
      <c r="B429" s="171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</row>
    <row r="430" spans="2:18">
      <c r="B430" s="171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</row>
    <row r="431" spans="2:18">
      <c r="B431" s="171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</row>
    <row r="432" spans="2:18">
      <c r="B432" s="171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</row>
    <row r="433" spans="2:18">
      <c r="B433" s="171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</row>
    <row r="434" spans="2:18">
      <c r="B434" s="171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</row>
    <row r="435" spans="2:18">
      <c r="B435" s="171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</row>
    <row r="436" spans="2:18">
      <c r="B436" s="171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</row>
    <row r="437" spans="2:18">
      <c r="B437" s="171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</row>
    <row r="438" spans="2:18">
      <c r="B438" s="171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</row>
    <row r="439" spans="2:18">
      <c r="B439" s="171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</row>
    <row r="440" spans="2:18">
      <c r="B440" s="171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</row>
    <row r="441" spans="2:18">
      <c r="B441" s="171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</row>
    <row r="442" spans="2:18">
      <c r="B442" s="171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</row>
    <row r="443" spans="2:18">
      <c r="B443" s="171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</row>
    <row r="444" spans="2:18">
      <c r="B444" s="171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</row>
    <row r="445" spans="2:18">
      <c r="B445" s="171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</row>
    <row r="446" spans="2:18">
      <c r="B446" s="171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</row>
    <row r="447" spans="2:18">
      <c r="B447" s="171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</row>
    <row r="448" spans="2:18">
      <c r="B448" s="171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</row>
    <row r="449" spans="2:18">
      <c r="B449" s="171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</row>
    <row r="450" spans="2:18">
      <c r="B450" s="171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</row>
    <row r="451" spans="2:18">
      <c r="B451" s="171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</row>
    <row r="452" spans="2:18">
      <c r="B452" s="171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</row>
    <row r="453" spans="2:18">
      <c r="B453" s="171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</row>
    <row r="454" spans="2:18">
      <c r="B454" s="171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</row>
    <row r="455" spans="2:18">
      <c r="B455" s="171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</row>
    <row r="456" spans="2:18">
      <c r="B456" s="171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</row>
    <row r="457" spans="2:18">
      <c r="B457" s="171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</row>
    <row r="458" spans="2:18">
      <c r="B458" s="171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</row>
    <row r="459" spans="2:18">
      <c r="B459" s="171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</row>
    <row r="460" spans="2:18">
      <c r="B460" s="171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</row>
    <row r="461" spans="2:18">
      <c r="B461" s="171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</row>
    <row r="462" spans="2:18">
      <c r="B462" s="171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</row>
    <row r="463" spans="2:18">
      <c r="B463" s="171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</row>
    <row r="464" spans="2:18">
      <c r="B464" s="171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</row>
    <row r="465" spans="2:18">
      <c r="B465" s="171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</row>
    <row r="466" spans="2:18">
      <c r="B466" s="171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</row>
    <row r="467" spans="2:18">
      <c r="B467" s="171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</row>
    <row r="468" spans="2:18">
      <c r="B468" s="171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</row>
    <row r="469" spans="2:18">
      <c r="B469" s="171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</row>
    <row r="470" spans="2:18">
      <c r="B470" s="171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</row>
    <row r="471" spans="2:18">
      <c r="B471" s="171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</row>
    <row r="472" spans="2:18">
      <c r="B472" s="171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</row>
    <row r="473" spans="2:18">
      <c r="B473" s="171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</row>
    <row r="474" spans="2:18">
      <c r="B474" s="171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</row>
    <row r="475" spans="2:18">
      <c r="B475" s="171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</row>
    <row r="476" spans="2:18">
      <c r="B476" s="171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</row>
    <row r="477" spans="2:18">
      <c r="B477" s="171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</row>
    <row r="478" spans="2:18">
      <c r="B478" s="171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</row>
    <row r="479" spans="2:18">
      <c r="B479" s="171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</row>
    <row r="480" spans="2:18">
      <c r="B480" s="171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</row>
    <row r="481" spans="2:18">
      <c r="B481" s="171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</row>
    <row r="482" spans="2:18">
      <c r="B482" s="171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</row>
    <row r="483" spans="2:18">
      <c r="B483" s="171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</row>
    <row r="484" spans="2:18">
      <c r="B484" s="171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</row>
    <row r="485" spans="2:18">
      <c r="B485" s="171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</row>
    <row r="486" spans="2:18">
      <c r="B486" s="171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</row>
    <row r="487" spans="2:18">
      <c r="B487" s="171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</row>
    <row r="488" spans="2:18">
      <c r="B488" s="171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</row>
    <row r="489" spans="2:18">
      <c r="B489" s="171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</row>
    <row r="490" spans="2:18">
      <c r="B490" s="171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</row>
    <row r="491" spans="2:18">
      <c r="B491" s="171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</row>
    <row r="492" spans="2:18">
      <c r="B492" s="171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</row>
    <row r="493" spans="2:18">
      <c r="B493" s="171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</row>
    <row r="494" spans="2:18">
      <c r="B494" s="171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</row>
    <row r="495" spans="2:18">
      <c r="B495" s="171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</row>
    <row r="496" spans="2:18">
      <c r="B496" s="171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</row>
    <row r="497" spans="2:18">
      <c r="B497" s="171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</row>
    <row r="498" spans="2:18">
      <c r="B498" s="171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</row>
    <row r="499" spans="2:18">
      <c r="B499" s="171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</row>
    <row r="500" spans="2:18">
      <c r="B500" s="171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</row>
    <row r="501" spans="2:18">
      <c r="B501" s="171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</row>
    <row r="502" spans="2:18">
      <c r="B502" s="171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</row>
    <row r="503" spans="2:18">
      <c r="B503" s="171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</row>
    <row r="504" spans="2:18">
      <c r="B504" s="171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</row>
    <row r="505" spans="2:18">
      <c r="B505" s="171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</row>
    <row r="506" spans="2:18">
      <c r="B506" s="171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</row>
    <row r="507" spans="2:18">
      <c r="B507" s="171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</row>
    <row r="508" spans="2:18">
      <c r="B508" s="171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</row>
    <row r="509" spans="2:18">
      <c r="B509" s="171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</row>
    <row r="510" spans="2:18">
      <c r="B510" s="171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</row>
    <row r="511" spans="2:18">
      <c r="B511" s="171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</row>
    <row r="512" spans="2:18">
      <c r="B512" s="171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</row>
    <row r="513" spans="2:18">
      <c r="B513" s="171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</row>
    <row r="514" spans="2:18">
      <c r="B514" s="171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</row>
    <row r="515" spans="2:18">
      <c r="B515" s="171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</row>
    <row r="516" spans="2:18">
      <c r="B516" s="171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</row>
    <row r="517" spans="2:18">
      <c r="B517" s="171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</row>
    <row r="518" spans="2:18">
      <c r="B518" s="171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</row>
    <row r="519" spans="2:18">
      <c r="B519" s="171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</row>
    <row r="520" spans="2:18">
      <c r="B520" s="171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</row>
    <row r="521" spans="2:18">
      <c r="B521" s="171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</row>
    <row r="522" spans="2:18">
      <c r="B522" s="171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</row>
    <row r="523" spans="2:18">
      <c r="B523" s="171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</row>
    <row r="524" spans="2:18">
      <c r="B524" s="171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</row>
    <row r="525" spans="2:18">
      <c r="B525" s="171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</row>
    <row r="526" spans="2:18">
      <c r="B526" s="171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</row>
    <row r="527" spans="2:18">
      <c r="B527" s="171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</row>
    <row r="528" spans="2:18">
      <c r="B528" s="171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</row>
    <row r="529" spans="2:18">
      <c r="B529" s="171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</row>
    <row r="530" spans="2:18">
      <c r="B530" s="171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</row>
    <row r="531" spans="2:18">
      <c r="B531" s="171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</row>
    <row r="532" spans="2:18">
      <c r="B532" s="171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</row>
    <row r="533" spans="2:18">
      <c r="B533" s="171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</row>
    <row r="534" spans="2:18">
      <c r="B534" s="171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</row>
    <row r="535" spans="2:18">
      <c r="B535" s="171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</row>
    <row r="536" spans="2:18">
      <c r="B536" s="171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</row>
    <row r="537" spans="2:18">
      <c r="B537" s="171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</row>
    <row r="538" spans="2:18">
      <c r="B538" s="171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</row>
    <row r="539" spans="2:18">
      <c r="B539" s="171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</row>
    <row r="540" spans="2:18">
      <c r="B540" s="171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</row>
    <row r="541" spans="2:18">
      <c r="B541" s="171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</row>
    <row r="542" spans="2:18">
      <c r="B542" s="171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</row>
    <row r="543" spans="2:18">
      <c r="B543" s="171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</row>
    <row r="544" spans="2:18">
      <c r="B544" s="171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</row>
    <row r="545" spans="2:18">
      <c r="B545" s="171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</row>
    <row r="546" spans="2:18">
      <c r="B546" s="171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</row>
    <row r="547" spans="2:18">
      <c r="B547" s="171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</row>
    <row r="548" spans="2:18">
      <c r="B548" s="171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</row>
    <row r="549" spans="2:18">
      <c r="B549" s="171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</row>
    <row r="550" spans="2:18">
      <c r="B550" s="171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</row>
    <row r="551" spans="2:18">
      <c r="B551" s="171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</row>
    <row r="552" spans="2:18">
      <c r="B552" s="171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</row>
    <row r="553" spans="2:18">
      <c r="B553" s="171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</row>
    <row r="554" spans="2:18">
      <c r="B554" s="171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</row>
    <row r="555" spans="2:18">
      <c r="B555" s="171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</row>
    <row r="556" spans="2:18">
      <c r="B556" s="171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</row>
    <row r="557" spans="2:18">
      <c r="B557" s="171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</row>
    <row r="558" spans="2:18">
      <c r="B558" s="171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</row>
    <row r="559" spans="2:18">
      <c r="B559" s="171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</row>
    <row r="560" spans="2:18">
      <c r="B560" s="171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</row>
    <row r="561" spans="2:18">
      <c r="B561" s="171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</row>
    <row r="562" spans="2:18">
      <c r="B562" s="171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</row>
    <row r="563" spans="2:18">
      <c r="B563" s="171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</row>
    <row r="564" spans="2:18">
      <c r="B564" s="171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</row>
    <row r="565" spans="2:18">
      <c r="B565" s="171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</row>
    <row r="566" spans="2:18">
      <c r="B566" s="171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</row>
    <row r="567" spans="2:18">
      <c r="B567" s="171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</row>
    <row r="568" spans="2:18">
      <c r="B568" s="171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</row>
    <row r="569" spans="2:18">
      <c r="B569" s="171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</row>
    <row r="570" spans="2:18">
      <c r="B570" s="171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</row>
    <row r="571" spans="2:18">
      <c r="B571" s="171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</row>
    <row r="572" spans="2:18">
      <c r="B572" s="171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</row>
    <row r="573" spans="2:18">
      <c r="B573" s="171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</row>
    <row r="574" spans="2:18">
      <c r="B574" s="171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</row>
    <row r="575" spans="2:18">
      <c r="B575" s="171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</row>
    <row r="576" spans="2:18">
      <c r="B576" s="171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</row>
    <row r="577" spans="2:18">
      <c r="B577" s="171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</row>
    <row r="578" spans="2:18">
      <c r="B578" s="171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</row>
    <row r="579" spans="2:18">
      <c r="B579" s="171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</row>
    <row r="580" spans="2:18">
      <c r="B580" s="171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</row>
    <row r="581" spans="2:18">
      <c r="B581" s="171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</row>
    <row r="582" spans="2:18">
      <c r="B582" s="171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</row>
    <row r="583" spans="2:18">
      <c r="B583" s="171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</row>
    <row r="584" spans="2:18">
      <c r="B584" s="171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</row>
    <row r="585" spans="2:18">
      <c r="B585" s="171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</row>
    <row r="586" spans="2:18">
      <c r="B586" s="171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</row>
    <row r="587" spans="2:18">
      <c r="B587" s="171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</row>
    <row r="588" spans="2:18">
      <c r="B588" s="171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</row>
    <row r="589" spans="2:18">
      <c r="B589" s="171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</row>
    <row r="590" spans="2:18">
      <c r="B590" s="171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</row>
    <row r="591" spans="2:18">
      <c r="B591" s="171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</row>
    <row r="592" spans="2:18">
      <c r="B592" s="171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</row>
    <row r="593" spans="2:18">
      <c r="B593" s="171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</row>
    <row r="594" spans="2:18">
      <c r="B594" s="171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</row>
    <row r="595" spans="2:18">
      <c r="B595" s="171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</row>
    <row r="596" spans="2:18">
      <c r="B596" s="171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</row>
    <row r="597" spans="2:18">
      <c r="B597" s="171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</row>
    <row r="598" spans="2:18">
      <c r="B598" s="171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</row>
    <row r="599" spans="2:18">
      <c r="B599" s="172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</row>
    <row r="600" spans="2:18">
      <c r="B600" s="172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</row>
    <row r="601" spans="2:18">
      <c r="B601" s="172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</row>
    <row r="602" spans="2:18">
      <c r="B602" s="172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</row>
    <row r="603" spans="2:18">
      <c r="B603" s="172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</row>
    <row r="604" spans="2:18">
      <c r="B604" s="172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</row>
    <row r="605" spans="2:18">
      <c r="B605" s="172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</row>
    <row r="606" spans="2:18">
      <c r="B606" s="172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</row>
    <row r="607" spans="2:18">
      <c r="B607" s="172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</row>
    <row r="608" spans="2:18">
      <c r="B608" s="172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</row>
    <row r="609" spans="2:18">
      <c r="B609" s="172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</row>
    <row r="610" spans="2:18">
      <c r="B610" s="172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</row>
    <row r="611" spans="2:18">
      <c r="B611" s="172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</row>
    <row r="612" spans="2:18">
      <c r="B612" s="172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</row>
    <row r="613" spans="2:18">
      <c r="B613" s="172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</row>
    <row r="614" spans="2:18">
      <c r="B614" s="172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</row>
    <row r="615" spans="2:18">
      <c r="B615" s="172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</row>
    <row r="616" spans="2:18">
      <c r="B616" s="172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</row>
    <row r="617" spans="2:18">
      <c r="B617" s="172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</row>
    <row r="618" spans="2:18">
      <c r="B618" s="172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</row>
    <row r="619" spans="2:18">
      <c r="B619" s="172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</row>
    <row r="620" spans="2:18">
      <c r="B620" s="172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</row>
    <row r="621" spans="2:18">
      <c r="B621" s="172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</row>
    <row r="622" spans="2:18">
      <c r="B622" s="172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</row>
    <row r="623" spans="2:18">
      <c r="B623" s="172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</row>
    <row r="624" spans="2:18">
      <c r="B624" s="172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</row>
    <row r="625" spans="2:18">
      <c r="B625" s="172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</row>
    <row r="626" spans="2:18">
      <c r="B626" s="172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</row>
    <row r="627" spans="2:18">
      <c r="B627" s="172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</row>
    <row r="628" spans="2:18">
      <c r="B628" s="172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</row>
    <row r="629" spans="2:18">
      <c r="B629" s="172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</row>
    <row r="630" spans="2:18">
      <c r="B630" s="172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</row>
    <row r="631" spans="2:18">
      <c r="B631" s="172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</row>
    <row r="632" spans="2:18">
      <c r="B632" s="172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</row>
    <row r="633" spans="2:18">
      <c r="B633" s="172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</row>
    <row r="634" spans="2:18">
      <c r="B634" s="172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</row>
    <row r="635" spans="2:18">
      <c r="B635" s="172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</row>
    <row r="636" spans="2:18">
      <c r="B636" s="172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</row>
    <row r="637" spans="2:18">
      <c r="B637" s="172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</row>
    <row r="638" spans="2:18">
      <c r="B638" s="172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</row>
    <row r="639" spans="2:18">
      <c r="B639" s="172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</row>
    <row r="640" spans="2:18">
      <c r="B640" s="172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</row>
    <row r="641" spans="2:18">
      <c r="B641" s="172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</row>
    <row r="642" spans="2:18">
      <c r="B642" s="172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</row>
    <row r="643" spans="2:18">
      <c r="B643" s="172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</row>
    <row r="644" spans="2:18">
      <c r="B644" s="172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</row>
    <row r="645" spans="2:18">
      <c r="B645" s="172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</row>
    <row r="646" spans="2:18">
      <c r="B646" s="172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</row>
    <row r="647" spans="2:18">
      <c r="B647" s="172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</row>
    <row r="648" spans="2:18">
      <c r="B648" s="172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</row>
    <row r="649" spans="2:18">
      <c r="B649" s="172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</row>
    <row r="650" spans="2:18">
      <c r="B650" s="172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</row>
    <row r="651" spans="2:18">
      <c r="B651" s="172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</row>
    <row r="652" spans="2:18">
      <c r="B652" s="172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</row>
    <row r="653" spans="2:18">
      <c r="B653" s="172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</row>
    <row r="654" spans="2:18">
      <c r="B654" s="172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</row>
    <row r="655" spans="2:18">
      <c r="B655" s="172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</row>
    <row r="656" spans="2:18">
      <c r="B656" s="172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</row>
    <row r="657" spans="2:18">
      <c r="B657" s="172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</row>
    <row r="658" spans="2:18">
      <c r="B658" s="172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</row>
    <row r="659" spans="2:18">
      <c r="B659" s="172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</row>
    <row r="660" spans="2:18">
      <c r="B660" s="172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</row>
    <row r="661" spans="2:18">
      <c r="B661" s="172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</row>
    <row r="662" spans="2:18">
      <c r="B662" s="172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</row>
    <row r="663" spans="2:18">
      <c r="B663" s="172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</row>
    <row r="664" spans="2:18">
      <c r="B664" s="172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</row>
    <row r="665" spans="2:18">
      <c r="B665" s="172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</row>
    <row r="666" spans="2:18">
      <c r="B666" s="172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</row>
    <row r="667" spans="2:18">
      <c r="B667" s="172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</row>
    <row r="668" spans="2:18">
      <c r="B668" s="172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</row>
    <row r="669" spans="2:18">
      <c r="B669" s="172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</row>
    <row r="670" spans="2:18">
      <c r="B670" s="172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</row>
    <row r="671" spans="2:18">
      <c r="B671" s="172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</row>
    <row r="672" spans="2:18">
      <c r="B672" s="172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</row>
    <row r="673" spans="2:18">
      <c r="B673" s="172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</row>
    <row r="674" spans="2:18">
      <c r="B674" s="172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</row>
    <row r="675" spans="2:18">
      <c r="B675" s="172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</row>
    <row r="676" spans="2:18">
      <c r="B676" s="172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</row>
    <row r="677" spans="2:18">
      <c r="B677" s="172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</row>
    <row r="678" spans="2:18">
      <c r="B678" s="172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</row>
    <row r="679" spans="2:18">
      <c r="B679" s="172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</row>
    <row r="680" spans="2:18">
      <c r="B680" s="172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</row>
    <row r="681" spans="2:18">
      <c r="B681" s="172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</row>
    <row r="682" spans="2:18">
      <c r="B682" s="172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</row>
    <row r="683" spans="2:18">
      <c r="B683" s="172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</row>
    <row r="684" spans="2:18">
      <c r="B684" s="172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</row>
    <row r="685" spans="2:18">
      <c r="B685" s="172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</row>
    <row r="686" spans="2:18">
      <c r="B686" s="172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</row>
    <row r="687" spans="2:18">
      <c r="B687" s="172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</row>
    <row r="688" spans="2:18">
      <c r="B688" s="172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</row>
    <row r="689" spans="2:18">
      <c r="B689" s="172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</row>
    <row r="690" spans="2:18">
      <c r="B690" s="172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</row>
    <row r="691" spans="2:18">
      <c r="B691" s="172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</row>
    <row r="692" spans="2:18">
      <c r="B692" s="172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</row>
    <row r="693" spans="2:18">
      <c r="B693" s="172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</row>
    <row r="694" spans="2:18">
      <c r="B694" s="172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</row>
    <row r="695" spans="2:18">
      <c r="B695" s="172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</row>
    <row r="696" spans="2:18">
      <c r="B696" s="172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</row>
    <row r="697" spans="2:18">
      <c r="B697" s="172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</row>
    <row r="698" spans="2:18">
      <c r="B698" s="172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</row>
    <row r="699" spans="2:18">
      <c r="B699" s="172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</row>
    <row r="700" spans="2:18">
      <c r="B700" s="172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</row>
    <row r="701" spans="2:18">
      <c r="B701" s="172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</row>
    <row r="702" spans="2:18">
      <c r="B702" s="172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</row>
    <row r="703" spans="2:18">
      <c r="B703" s="172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</row>
    <row r="704" spans="2:18">
      <c r="B704" s="172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</row>
    <row r="705" spans="2:18">
      <c r="B705" s="172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</row>
    <row r="706" spans="2:18">
      <c r="B706" s="172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</row>
    <row r="707" spans="2:18">
      <c r="B707" s="172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</row>
    <row r="708" spans="2:18">
      <c r="B708" s="172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</row>
    <row r="709" spans="2:18">
      <c r="B709" s="172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</row>
    <row r="710" spans="2:18">
      <c r="B710" s="172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</row>
    <row r="711" spans="2:18">
      <c r="B711" s="172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</row>
    <row r="712" spans="2:18">
      <c r="B712" s="172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</row>
    <row r="713" spans="2:18">
      <c r="B713" s="172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</row>
    <row r="714" spans="2:18">
      <c r="B714" s="172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</row>
    <row r="715" spans="2:18">
      <c r="B715" s="172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</row>
    <row r="716" spans="2:18">
      <c r="B716" s="172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</row>
    <row r="717" spans="2:18">
      <c r="B717" s="172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</row>
    <row r="718" spans="2:18">
      <c r="B718" s="172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</row>
    <row r="719" spans="2:18">
      <c r="B719" s="172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</row>
    <row r="720" spans="2:18">
      <c r="B720" s="172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</row>
    <row r="721" spans="2:18">
      <c r="B721" s="172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</row>
    <row r="722" spans="2:18">
      <c r="B722" s="172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</row>
    <row r="723" spans="2:18">
      <c r="B723" s="172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</row>
    <row r="724" spans="2:18">
      <c r="B724" s="172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</row>
    <row r="725" spans="2:18">
      <c r="B725" s="172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</row>
    <row r="726" spans="2:18">
      <c r="B726" s="172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</row>
    <row r="727" spans="2:18">
      <c r="B727" s="172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</row>
    <row r="728" spans="2:18">
      <c r="B728" s="172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</row>
    <row r="729" spans="2:18">
      <c r="B729" s="172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</row>
    <row r="730" spans="2:18">
      <c r="B730" s="172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</row>
    <row r="731" spans="2:18">
      <c r="B731" s="172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</row>
    <row r="732" spans="2:18">
      <c r="B732" s="172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</row>
    <row r="733" spans="2:18">
      <c r="B733" s="172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</row>
    <row r="734" spans="2:18">
      <c r="B734" s="172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</row>
    <row r="735" spans="2:18">
      <c r="B735" s="172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</row>
    <row r="736" spans="2:18">
      <c r="B736" s="172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</row>
    <row r="737" spans="2:18">
      <c r="B737" s="172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</row>
    <row r="738" spans="2:18">
      <c r="B738" s="172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</row>
    <row r="739" spans="2:18">
      <c r="B739" s="172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</row>
    <row r="740" spans="2:18">
      <c r="B740" s="172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</row>
    <row r="741" spans="2:18">
      <c r="B741" s="172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</row>
    <row r="742" spans="2:18">
      <c r="B742" s="172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</row>
    <row r="743" spans="2:18">
      <c r="B743" s="172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</row>
    <row r="744" spans="2:18">
      <c r="B744" s="172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</row>
    <row r="745" spans="2:18">
      <c r="B745" s="172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</row>
    <row r="746" spans="2:18">
      <c r="B746" s="172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</row>
    <row r="747" spans="2:18">
      <c r="B747" s="172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</row>
    <row r="748" spans="2:18">
      <c r="B748" s="172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</row>
    <row r="749" spans="2:18">
      <c r="B749" s="172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</row>
    <row r="750" spans="2:18">
      <c r="B750" s="172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</row>
    <row r="751" spans="2:18">
      <c r="B751" s="172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</row>
    <row r="752" spans="2:18">
      <c r="B752" s="172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</row>
    <row r="753" spans="2:18">
      <c r="B753" s="172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</row>
    <row r="754" spans="2:18">
      <c r="B754" s="172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</row>
    <row r="755" spans="2:18">
      <c r="B755" s="172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</row>
    <row r="756" spans="2:18">
      <c r="B756" s="172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</row>
    <row r="757" spans="2:18">
      <c r="B757" s="172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</row>
    <row r="758" spans="2:18">
      <c r="B758" s="172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</row>
    <row r="759" spans="2:18">
      <c r="B759" s="172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</row>
    <row r="760" spans="2:18">
      <c r="B760" s="172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</row>
    <row r="761" spans="2:18">
      <c r="B761" s="172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</row>
    <row r="762" spans="2:18">
      <c r="B762" s="172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</row>
    <row r="763" spans="2:18">
      <c r="B763" s="172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</row>
    <row r="764" spans="2:18">
      <c r="B764" s="172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</row>
    <row r="765" spans="2:18">
      <c r="B765" s="172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</row>
    <row r="766" spans="2:18">
      <c r="B766" s="172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</row>
    <row r="767" spans="2:18">
      <c r="B767" s="172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</row>
    <row r="768" spans="2:18">
      <c r="B768" s="172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</row>
    <row r="769" spans="2:18">
      <c r="B769" s="172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</row>
    <row r="770" spans="2:18">
      <c r="B770" s="172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</row>
    <row r="771" spans="2:18">
      <c r="B771" s="172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</row>
    <row r="772" spans="2:18">
      <c r="B772" s="172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</row>
    <row r="773" spans="2:18">
      <c r="B773" s="172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</row>
    <row r="774" spans="2:18">
      <c r="B774" s="172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</row>
    <row r="775" spans="2:18">
      <c r="B775" s="172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</row>
    <row r="776" spans="2:18">
      <c r="B776" s="172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</row>
    <row r="777" spans="2:18">
      <c r="B777" s="172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</row>
    <row r="778" spans="2:18">
      <c r="B778" s="172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</row>
    <row r="779" spans="2:18">
      <c r="B779" s="172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</row>
    <row r="780" spans="2:18">
      <c r="B780" s="172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</row>
    <row r="781" spans="2:18">
      <c r="B781" s="172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</row>
    <row r="782" spans="2:18">
      <c r="B782" s="172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</row>
    <row r="783" spans="2:18">
      <c r="B783" s="172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</row>
    <row r="784" spans="2:18">
      <c r="B784" s="172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</row>
    <row r="785" spans="2:18">
      <c r="B785" s="172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</row>
    <row r="786" spans="2:18">
      <c r="B786" s="172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</row>
    <row r="787" spans="2:18">
      <c r="B787" s="172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</row>
    <row r="788" spans="2:18">
      <c r="B788" s="172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</row>
    <row r="789" spans="2:18">
      <c r="B789" s="172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</row>
    <row r="790" spans="2:18">
      <c r="B790" s="172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</row>
    <row r="791" spans="2:18">
      <c r="B791" s="172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</row>
    <row r="792" spans="2:18">
      <c r="B792" s="172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</row>
    <row r="793" spans="2:18">
      <c r="B793" s="172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</row>
    <row r="794" spans="2:18">
      <c r="B794" s="172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</row>
    <row r="795" spans="2:18">
      <c r="B795" s="172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</row>
    <row r="796" spans="2:18">
      <c r="B796" s="172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</row>
    <row r="797" spans="2:18">
      <c r="B797" s="172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</row>
    <row r="798" spans="2:18">
      <c r="B798" s="172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</row>
    <row r="799" spans="2:18">
      <c r="B799" s="172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</row>
    <row r="800" spans="2:18">
      <c r="B800" s="172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</row>
    <row r="801" spans="2:18">
      <c r="B801" s="172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</row>
    <row r="802" spans="2:18">
      <c r="B802" s="172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</row>
    <row r="803" spans="2:18">
      <c r="B803" s="172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</row>
    <row r="804" spans="2:18">
      <c r="B804" s="172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</row>
    <row r="805" spans="2:18">
      <c r="B805" s="172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</row>
    <row r="806" spans="2:18">
      <c r="B806" s="172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</row>
    <row r="807" spans="2:18">
      <c r="B807" s="172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</row>
    <row r="808" spans="2:18">
      <c r="B808" s="172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</row>
    <row r="809" spans="2:18">
      <c r="B809" s="172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</row>
    <row r="810" spans="2:18">
      <c r="B810" s="172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</row>
    <row r="811" spans="2:18">
      <c r="B811" s="172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</row>
    <row r="812" spans="2:18">
      <c r="B812" s="172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</row>
    <row r="813" spans="2:18">
      <c r="B813" s="172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</row>
    <row r="814" spans="2:18">
      <c r="B814" s="172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</row>
    <row r="815" spans="2:18">
      <c r="B815" s="172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</row>
    <row r="816" spans="2:18">
      <c r="B816" s="172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</row>
    <row r="817" spans="2:18">
      <c r="B817" s="172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</row>
    <row r="818" spans="2:18">
      <c r="B818" s="172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</row>
    <row r="819" spans="2:18">
      <c r="B819" s="172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</row>
    <row r="820" spans="2:18">
      <c r="B820" s="172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</row>
    <row r="821" spans="2:18">
      <c r="B821" s="172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</row>
    <row r="822" spans="2:18">
      <c r="B822" s="172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</row>
    <row r="823" spans="2:18">
      <c r="B823" s="172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</row>
    <row r="824" spans="2:18">
      <c r="B824" s="172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</row>
    <row r="825" spans="2:18">
      <c r="B825" s="172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</row>
    <row r="826" spans="2:18">
      <c r="B826" s="172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</row>
    <row r="827" spans="2:18">
      <c r="B827" s="172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</row>
    <row r="828" spans="2:18">
      <c r="B828" s="172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</row>
    <row r="829" spans="2:18">
      <c r="B829" s="172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</row>
    <row r="830" spans="2:18">
      <c r="B830" s="172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</row>
    <row r="831" spans="2:18">
      <c r="B831" s="172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</row>
    <row r="832" spans="2:18">
      <c r="B832" s="172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</row>
    <row r="833" spans="2:18">
      <c r="B833" s="172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</row>
    <row r="834" spans="2:18">
      <c r="B834" s="172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</row>
    <row r="835" spans="2:18">
      <c r="B835" s="172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</row>
    <row r="836" spans="2:18">
      <c r="B836" s="172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</row>
    <row r="837" spans="2:18">
      <c r="B837" s="172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</row>
    <row r="838" spans="2:18">
      <c r="B838" s="172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</row>
    <row r="839" spans="2:18">
      <c r="B839" s="172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</row>
    <row r="840" spans="2:18">
      <c r="B840" s="172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</row>
    <row r="841" spans="2:18">
      <c r="B841" s="172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</row>
    <row r="842" spans="2:18">
      <c r="B842" s="172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</row>
    <row r="843" spans="2:18">
      <c r="B843" s="172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</row>
    <row r="844" spans="2:18">
      <c r="B844" s="172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</row>
    <row r="845" spans="2:18">
      <c r="B845" s="172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</row>
    <row r="846" spans="2:18">
      <c r="B846" s="172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</row>
    <row r="847" spans="2:18">
      <c r="B847" s="172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</row>
    <row r="848" spans="2:18">
      <c r="B848" s="172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</row>
    <row r="849" spans="2:18">
      <c r="B849" s="172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</row>
    <row r="850" spans="2:18">
      <c r="B850" s="172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</row>
    <row r="851" spans="2:18">
      <c r="B851" s="172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</row>
    <row r="852" spans="2:18">
      <c r="B852" s="172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</row>
    <row r="853" spans="2:18">
      <c r="B853" s="172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</row>
    <row r="854" spans="2:18">
      <c r="B854" s="172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</row>
    <row r="855" spans="2:18">
      <c r="B855" s="172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</row>
    <row r="856" spans="2:18">
      <c r="B856" s="172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</row>
    <row r="857" spans="2:18">
      <c r="B857" s="172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</row>
    <row r="858" spans="2:18">
      <c r="B858" s="172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</row>
    <row r="859" spans="2:18">
      <c r="B859" s="172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</row>
    <row r="860" spans="2:18">
      <c r="B860" s="172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</row>
    <row r="861" spans="2:18">
      <c r="B861" s="172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</row>
    <row r="862" spans="2:18">
      <c r="B862" s="172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</row>
    <row r="863" spans="2:18">
      <c r="B863" s="172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</row>
    <row r="864" spans="2:18">
      <c r="B864" s="172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</row>
    <row r="865" spans="2:18">
      <c r="B865" s="172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</row>
    <row r="866" spans="2:18">
      <c r="B866" s="172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</row>
    <row r="867" spans="2:18">
      <c r="B867" s="172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</row>
    <row r="868" spans="2:18">
      <c r="B868" s="172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</row>
    <row r="869" spans="2:18">
      <c r="B869" s="172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</row>
    <row r="870" spans="2:18">
      <c r="B870" s="172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</row>
    <row r="871" spans="2:18">
      <c r="B871" s="172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</row>
    <row r="872" spans="2:18">
      <c r="B872" s="172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</row>
    <row r="873" spans="2:18">
      <c r="B873" s="172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</row>
    <row r="874" spans="2:18">
      <c r="B874" s="172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</row>
    <row r="875" spans="2:18">
      <c r="B875" s="172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</row>
    <row r="876" spans="2:18">
      <c r="B876" s="172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</row>
    <row r="877" spans="2:18">
      <c r="B877" s="172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</row>
    <row r="878" spans="2:18">
      <c r="B878" s="172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</row>
    <row r="879" spans="2:18">
      <c r="B879" s="172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</row>
    <row r="880" spans="2:18">
      <c r="B880" s="172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</row>
    <row r="881" spans="2:18">
      <c r="B881" s="172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</row>
    <row r="882" spans="2:18">
      <c r="B882" s="172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</row>
    <row r="883" spans="2:18">
      <c r="B883" s="172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</row>
    <row r="884" spans="2:18">
      <c r="B884" s="172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</row>
    <row r="885" spans="2:18">
      <c r="B885" s="172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</row>
    <row r="886" spans="2:18">
      <c r="B886" s="172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</row>
    <row r="887" spans="2:18">
      <c r="B887" s="172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</row>
    <row r="888" spans="2:18">
      <c r="B888" s="172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</row>
    <row r="889" spans="2:18">
      <c r="B889" s="172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</row>
    <row r="890" spans="2:18">
      <c r="B890" s="172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</row>
    <row r="891" spans="2:18">
      <c r="B891" s="172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</row>
    <row r="892" spans="2:18">
      <c r="B892" s="172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</row>
    <row r="893" spans="2:18">
      <c r="B893" s="172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</row>
    <row r="894" spans="2:18">
      <c r="B894" s="172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</row>
    <row r="895" spans="2:18">
      <c r="B895" s="172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</row>
    <row r="896" spans="2:18">
      <c r="B896" s="172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</row>
    <row r="897" spans="2:18">
      <c r="B897" s="172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</row>
    <row r="898" spans="2:18">
      <c r="B898" s="172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</row>
    <row r="899" spans="2:18">
      <c r="B899" s="172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</row>
    <row r="900" spans="2:18">
      <c r="B900" s="172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</row>
    <row r="901" spans="2:18">
      <c r="B901" s="172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</row>
    <row r="902" spans="2:18">
      <c r="B902" s="172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</row>
    <row r="903" spans="2:18">
      <c r="B903" s="172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</row>
    <row r="904" spans="2:18">
      <c r="B904" s="172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</row>
    <row r="905" spans="2:18">
      <c r="B905" s="172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</row>
    <row r="906" spans="2:18">
      <c r="B906" s="172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</row>
    <row r="907" spans="2:18">
      <c r="B907" s="172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</row>
    <row r="908" spans="2:18">
      <c r="B908" s="172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</row>
    <row r="909" spans="2:18">
      <c r="B909" s="172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</row>
    <row r="910" spans="2:18">
      <c r="B910" s="172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</row>
    <row r="911" spans="2:18">
      <c r="B911" s="172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</row>
    <row r="912" spans="2:18">
      <c r="B912" s="172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</row>
    <row r="913" spans="2:18">
      <c r="B913" s="172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</row>
    <row r="914" spans="2:18">
      <c r="B914" s="172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</row>
    <row r="915" spans="2:18">
      <c r="B915" s="172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</row>
    <row r="916" spans="2:18">
      <c r="B916" s="172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</row>
    <row r="917" spans="2:18">
      <c r="B917" s="172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</row>
    <row r="918" spans="2:18">
      <c r="B918" s="172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</row>
    <row r="919" spans="2:18">
      <c r="B919" s="172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</row>
    <row r="920" spans="2:18">
      <c r="B920" s="172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</row>
    <row r="921" spans="2:18">
      <c r="B921" s="172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</row>
    <row r="922" spans="2:18">
      <c r="B922" s="172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</row>
    <row r="923" spans="2:18">
      <c r="B923" s="172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</row>
    <row r="924" spans="2:18">
      <c r="B924" s="172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</row>
    <row r="925" spans="2:18">
      <c r="B925" s="172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</row>
    <row r="926" spans="2:18">
      <c r="B926" s="172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</row>
    <row r="927" spans="2:18">
      <c r="B927" s="172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</row>
    <row r="928" spans="2:18">
      <c r="B928" s="172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</row>
    <row r="929" spans="2:18">
      <c r="B929" s="172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</row>
    <row r="930" spans="2:18">
      <c r="B930" s="172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</row>
    <row r="931" spans="2:18">
      <c r="B931" s="172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</row>
    <row r="932" spans="2:18">
      <c r="B932" s="172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</row>
    <row r="933" spans="2:18">
      <c r="B933" s="172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</row>
    <row r="934" spans="2:18">
      <c r="B934" s="172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</row>
    <row r="935" spans="2:18">
      <c r="B935" s="172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</row>
    <row r="936" spans="2:18">
      <c r="B936" s="172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</row>
    <row r="937" spans="2:18">
      <c r="B937" s="172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</row>
    <row r="938" spans="2:18">
      <c r="B938" s="172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</row>
    <row r="939" spans="2:18">
      <c r="B939" s="172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</row>
    <row r="940" spans="2:18">
      <c r="B940" s="172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</row>
    <row r="941" spans="2:18">
      <c r="B941" s="172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</row>
    <row r="942" spans="2:18">
      <c r="B942" s="172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</row>
    <row r="943" spans="2:18">
      <c r="B943" s="172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</row>
    <row r="944" spans="2:18">
      <c r="B944" s="172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</row>
    <row r="945" spans="2:18">
      <c r="B945" s="172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</row>
    <row r="946" spans="2:18">
      <c r="B946" s="172"/>
    </row>
    <row r="947" spans="2:18">
      <c r="B947" s="172"/>
    </row>
    <row r="948" spans="2:18">
      <c r="B948" s="172"/>
    </row>
    <row r="949" spans="2:18">
      <c r="B949" s="172"/>
    </row>
    <row r="950" spans="2:18">
      <c r="B950" s="172"/>
    </row>
    <row r="951" spans="2:18">
      <c r="B951" s="172"/>
    </row>
    <row r="952" spans="2:18">
      <c r="B952" s="172"/>
    </row>
    <row r="953" spans="2:18">
      <c r="B953" s="172"/>
    </row>
    <row r="954" spans="2:18">
      <c r="B954" s="172"/>
    </row>
    <row r="955" spans="2:18">
      <c r="B955" s="172"/>
    </row>
    <row r="956" spans="2:18">
      <c r="B956" s="172"/>
    </row>
    <row r="957" spans="2:18">
      <c r="B957" s="172"/>
    </row>
    <row r="958" spans="2:18">
      <c r="B958" s="172"/>
    </row>
    <row r="959" spans="2:18">
      <c r="B959" s="172"/>
    </row>
    <row r="960" spans="2:18">
      <c r="B960" s="172"/>
    </row>
    <row r="961" spans="2:2">
      <c r="B961" s="172"/>
    </row>
    <row r="962" spans="2:2">
      <c r="B962" s="172"/>
    </row>
    <row r="963" spans="2:2">
      <c r="B963" s="172"/>
    </row>
    <row r="964" spans="2:2">
      <c r="B964" s="172"/>
    </row>
    <row r="965" spans="2:2">
      <c r="B965" s="172"/>
    </row>
    <row r="966" spans="2:2">
      <c r="B966" s="172"/>
    </row>
    <row r="967" spans="2:2">
      <c r="B967" s="172"/>
    </row>
    <row r="968" spans="2:2">
      <c r="B968" s="172"/>
    </row>
    <row r="969" spans="2:2">
      <c r="B969" s="172"/>
    </row>
    <row r="970" spans="2:2">
      <c r="B970" s="172"/>
    </row>
    <row r="971" spans="2:2">
      <c r="B971" s="172"/>
    </row>
    <row r="972" spans="2:2">
      <c r="B972" s="172"/>
    </row>
    <row r="973" spans="2:2">
      <c r="B973" s="172"/>
    </row>
    <row r="974" spans="2:2">
      <c r="B974" s="172"/>
    </row>
    <row r="975" spans="2:2">
      <c r="B975" s="172"/>
    </row>
    <row r="976" spans="2:2">
      <c r="B976" s="172"/>
    </row>
    <row r="977" spans="2:2">
      <c r="B977" s="172"/>
    </row>
    <row r="978" spans="2:2">
      <c r="B978" s="172"/>
    </row>
    <row r="979" spans="2:2">
      <c r="B979" s="172"/>
    </row>
    <row r="980" spans="2:2">
      <c r="B980" s="172"/>
    </row>
    <row r="981" spans="2:2">
      <c r="B981" s="172"/>
    </row>
    <row r="982" spans="2:2">
      <c r="B982" s="172"/>
    </row>
    <row r="983" spans="2:2">
      <c r="B983" s="172"/>
    </row>
    <row r="984" spans="2:2">
      <c r="B984" s="172"/>
    </row>
    <row r="985" spans="2:2">
      <c r="B985" s="172"/>
    </row>
    <row r="986" spans="2:2">
      <c r="B986" s="172"/>
    </row>
    <row r="987" spans="2:2">
      <c r="B987" s="172"/>
    </row>
    <row r="988" spans="2:2">
      <c r="B988" s="172"/>
    </row>
    <row r="989" spans="2:2">
      <c r="B989" s="172"/>
    </row>
    <row r="990" spans="2:2">
      <c r="B990" s="172"/>
    </row>
    <row r="991" spans="2:2">
      <c r="B991" s="172"/>
    </row>
    <row r="992" spans="2:2">
      <c r="B992" s="172"/>
    </row>
    <row r="993" spans="2:2">
      <c r="B993" s="172"/>
    </row>
    <row r="994" spans="2:2">
      <c r="B994" s="172"/>
    </row>
    <row r="995" spans="2:2">
      <c r="B995" s="172"/>
    </row>
    <row r="996" spans="2:2">
      <c r="B996" s="172"/>
    </row>
    <row r="997" spans="2:2">
      <c r="B997" s="172"/>
    </row>
    <row r="998" spans="2:2">
      <c r="B998" s="172"/>
    </row>
    <row r="999" spans="2:2">
      <c r="B999" s="172"/>
    </row>
    <row r="1000" spans="2:2">
      <c r="B1000" s="172"/>
    </row>
    <row r="1001" spans="2:2">
      <c r="B1001" s="172"/>
    </row>
    <row r="1002" spans="2:2">
      <c r="B1002" s="172"/>
    </row>
    <row r="1003" spans="2:2">
      <c r="B1003" s="172"/>
    </row>
    <row r="1004" spans="2:2">
      <c r="B1004" s="172"/>
    </row>
    <row r="1005" spans="2:2">
      <c r="B1005" s="172"/>
    </row>
    <row r="1006" spans="2:2">
      <c r="B1006" s="172"/>
    </row>
    <row r="1007" spans="2:2">
      <c r="B1007" s="172"/>
    </row>
    <row r="1008" spans="2:2">
      <c r="B1008" s="172"/>
    </row>
    <row r="1009" spans="2:2">
      <c r="B1009" s="172"/>
    </row>
    <row r="1010" spans="2:2">
      <c r="B1010" s="172"/>
    </row>
    <row r="1011" spans="2:2">
      <c r="B1011" s="172"/>
    </row>
    <row r="1012" spans="2:2">
      <c r="B1012" s="172"/>
    </row>
    <row r="1013" spans="2:2">
      <c r="B1013" s="172"/>
    </row>
    <row r="1014" spans="2:2">
      <c r="B1014" s="172"/>
    </row>
    <row r="1015" spans="2:2">
      <c r="B1015" s="172"/>
    </row>
    <row r="1016" spans="2:2">
      <c r="B1016" s="172"/>
    </row>
    <row r="1017" spans="2:2">
      <c r="B1017" s="172"/>
    </row>
    <row r="1018" spans="2:2">
      <c r="B1018" s="172"/>
    </row>
    <row r="1019" spans="2:2">
      <c r="B1019" s="172"/>
    </row>
    <row r="1020" spans="2:2">
      <c r="B1020" s="172"/>
    </row>
    <row r="1021" spans="2:2">
      <c r="B1021" s="172"/>
    </row>
    <row r="1022" spans="2:2">
      <c r="B1022" s="172"/>
    </row>
    <row r="1023" spans="2:2">
      <c r="B1023" s="172"/>
    </row>
    <row r="1024" spans="2:2">
      <c r="B1024" s="172"/>
    </row>
    <row r="1025" spans="2:2">
      <c r="B1025" s="172"/>
    </row>
    <row r="1026" spans="2:2">
      <c r="B1026" s="172"/>
    </row>
    <row r="1027" spans="2:2">
      <c r="B1027" s="172"/>
    </row>
    <row r="1028" spans="2:2">
      <c r="B1028" s="172"/>
    </row>
    <row r="1029" spans="2:2">
      <c r="B1029" s="172"/>
    </row>
    <row r="1030" spans="2:2">
      <c r="B1030" s="172"/>
    </row>
    <row r="1031" spans="2:2">
      <c r="B1031" s="172"/>
    </row>
    <row r="1032" spans="2:2">
      <c r="B1032" s="172"/>
    </row>
    <row r="1033" spans="2:2">
      <c r="B1033" s="172"/>
    </row>
    <row r="1034" spans="2:2">
      <c r="B1034" s="172"/>
    </row>
    <row r="1035" spans="2:2">
      <c r="B1035" s="172"/>
    </row>
    <row r="1036" spans="2:2">
      <c r="B1036" s="172"/>
    </row>
    <row r="1037" spans="2:2">
      <c r="B1037" s="172"/>
    </row>
    <row r="1038" spans="2:2">
      <c r="B1038" s="172"/>
    </row>
    <row r="1039" spans="2:2">
      <c r="B1039" s="172"/>
    </row>
    <row r="1040" spans="2:2">
      <c r="B1040" s="172"/>
    </row>
    <row r="1041" spans="2:2">
      <c r="B1041" s="172"/>
    </row>
    <row r="1042" spans="2:2">
      <c r="B1042" s="172"/>
    </row>
    <row r="1043" spans="2:2">
      <c r="B1043" s="172"/>
    </row>
    <row r="1044" spans="2:2">
      <c r="B1044" s="172"/>
    </row>
    <row r="1045" spans="2:2">
      <c r="B1045" s="172"/>
    </row>
    <row r="1046" spans="2:2">
      <c r="B1046" s="172"/>
    </row>
    <row r="1047" spans="2:2">
      <c r="B1047" s="172"/>
    </row>
    <row r="1048" spans="2:2">
      <c r="B1048" s="172"/>
    </row>
    <row r="1049" spans="2:2">
      <c r="B1049" s="172"/>
    </row>
    <row r="1050" spans="2:2">
      <c r="B1050" s="172"/>
    </row>
    <row r="1051" spans="2:2">
      <c r="B1051" s="172"/>
    </row>
    <row r="1052" spans="2:2">
      <c r="B1052" s="172"/>
    </row>
    <row r="1053" spans="2:2">
      <c r="B1053" s="172"/>
    </row>
    <row r="1054" spans="2:2">
      <c r="B1054" s="172"/>
    </row>
    <row r="1055" spans="2:2">
      <c r="B1055" s="172"/>
    </row>
    <row r="1056" spans="2:2">
      <c r="B1056" s="172"/>
    </row>
    <row r="1057" spans="2:2">
      <c r="B1057" s="172"/>
    </row>
    <row r="1058" spans="2:2">
      <c r="B1058" s="172"/>
    </row>
    <row r="1059" spans="2:2">
      <c r="B1059" s="172"/>
    </row>
    <row r="1060" spans="2:2">
      <c r="B1060" s="172"/>
    </row>
    <row r="1061" spans="2:2">
      <c r="B1061" s="172"/>
    </row>
    <row r="1062" spans="2:2">
      <c r="B1062" s="172"/>
    </row>
    <row r="1063" spans="2:2">
      <c r="B1063" s="172"/>
    </row>
    <row r="1064" spans="2:2">
      <c r="B1064" s="172"/>
    </row>
    <row r="1065" spans="2:2">
      <c r="B1065" s="172"/>
    </row>
    <row r="1066" spans="2:2">
      <c r="B1066" s="172"/>
    </row>
    <row r="1067" spans="2:2">
      <c r="B1067" s="172"/>
    </row>
    <row r="1068" spans="2:2">
      <c r="B1068" s="172"/>
    </row>
    <row r="1069" spans="2:2">
      <c r="B1069" s="172"/>
    </row>
    <row r="1070" spans="2:2">
      <c r="B1070" s="172"/>
    </row>
    <row r="1071" spans="2:2">
      <c r="B1071" s="172"/>
    </row>
    <row r="1072" spans="2:2">
      <c r="B1072" s="172"/>
    </row>
    <row r="1073" spans="2:2">
      <c r="B1073" s="172"/>
    </row>
    <row r="1074" spans="2:2">
      <c r="B1074" s="172"/>
    </row>
    <row r="1075" spans="2:2">
      <c r="B1075" s="172"/>
    </row>
    <row r="1076" spans="2:2">
      <c r="B1076" s="172"/>
    </row>
    <row r="1077" spans="2:2">
      <c r="B1077" s="172"/>
    </row>
    <row r="1078" spans="2:2">
      <c r="B1078" s="172"/>
    </row>
    <row r="1079" spans="2:2">
      <c r="B1079" s="172"/>
    </row>
    <row r="1080" spans="2:2">
      <c r="B1080" s="172"/>
    </row>
    <row r="1081" spans="2:2">
      <c r="B1081" s="172"/>
    </row>
    <row r="1082" spans="2:2">
      <c r="B1082" s="172"/>
    </row>
    <row r="1083" spans="2:2">
      <c r="B1083" s="172"/>
    </row>
    <row r="1084" spans="2:2">
      <c r="B1084" s="172"/>
    </row>
    <row r="1085" spans="2:2">
      <c r="B1085" s="172"/>
    </row>
    <row r="1086" spans="2:2">
      <c r="B1086" s="172"/>
    </row>
    <row r="1087" spans="2:2">
      <c r="B1087" s="172"/>
    </row>
    <row r="1088" spans="2:2">
      <c r="B1088" s="172"/>
    </row>
    <row r="1089" spans="2:2">
      <c r="B1089" s="172"/>
    </row>
    <row r="1090" spans="2:2">
      <c r="B1090" s="172"/>
    </row>
    <row r="1091" spans="2:2">
      <c r="B1091" s="172"/>
    </row>
    <row r="1092" spans="2:2">
      <c r="B1092" s="172"/>
    </row>
    <row r="1093" spans="2:2">
      <c r="B1093" s="172"/>
    </row>
    <row r="1094" spans="2:2">
      <c r="B1094" s="172"/>
    </row>
    <row r="1095" spans="2:2">
      <c r="B1095" s="172"/>
    </row>
    <row r="1096" spans="2:2">
      <c r="B1096" s="172"/>
    </row>
    <row r="1097" spans="2:2">
      <c r="B1097" s="172"/>
    </row>
    <row r="1098" spans="2:2">
      <c r="B1098" s="172"/>
    </row>
    <row r="1099" spans="2:2">
      <c r="B1099" s="172"/>
    </row>
    <row r="1100" spans="2:2">
      <c r="B1100" s="172"/>
    </row>
    <row r="1101" spans="2:2">
      <c r="B1101" s="172"/>
    </row>
    <row r="1102" spans="2:2">
      <c r="B1102" s="172"/>
    </row>
    <row r="1103" spans="2:2">
      <c r="B1103" s="172"/>
    </row>
    <row r="1104" spans="2:2">
      <c r="B1104" s="172"/>
    </row>
    <row r="1105" spans="2:2">
      <c r="B1105" s="172"/>
    </row>
    <row r="1106" spans="2:2">
      <c r="B1106" s="172"/>
    </row>
    <row r="1107" spans="2:2">
      <c r="B1107" s="172"/>
    </row>
    <row r="1108" spans="2:2">
      <c r="B1108" s="172"/>
    </row>
    <row r="1109" spans="2:2">
      <c r="B1109" s="172"/>
    </row>
    <row r="1110" spans="2:2">
      <c r="B1110" s="172"/>
    </row>
    <row r="1111" spans="2:2">
      <c r="B1111" s="172"/>
    </row>
    <row r="1112" spans="2:2">
      <c r="B1112" s="172"/>
    </row>
    <row r="1113" spans="2:2">
      <c r="B1113" s="172"/>
    </row>
    <row r="1114" spans="2:2">
      <c r="B1114" s="172"/>
    </row>
    <row r="1115" spans="2:2">
      <c r="B1115" s="172"/>
    </row>
    <row r="1116" spans="2:2">
      <c r="B1116" s="172"/>
    </row>
    <row r="1117" spans="2:2">
      <c r="B1117" s="172"/>
    </row>
    <row r="1118" spans="2:2">
      <c r="B1118" s="172"/>
    </row>
    <row r="1119" spans="2:2">
      <c r="B1119" s="172"/>
    </row>
    <row r="1120" spans="2:2">
      <c r="B1120" s="172"/>
    </row>
    <row r="1121" spans="2:2">
      <c r="B1121" s="172"/>
    </row>
    <row r="1122" spans="2:2">
      <c r="B1122" s="172"/>
    </row>
    <row r="1123" spans="2:2">
      <c r="B1123" s="172"/>
    </row>
    <row r="1124" spans="2:2">
      <c r="B1124" s="172"/>
    </row>
    <row r="1125" spans="2:2">
      <c r="B1125" s="172"/>
    </row>
    <row r="1126" spans="2:2">
      <c r="B1126" s="172"/>
    </row>
    <row r="1127" spans="2:2">
      <c r="B1127" s="172"/>
    </row>
    <row r="1128" spans="2:2">
      <c r="B1128" s="172"/>
    </row>
    <row r="1129" spans="2:2">
      <c r="B1129" s="172"/>
    </row>
    <row r="1130" spans="2:2">
      <c r="B1130" s="172"/>
    </row>
    <row r="1131" spans="2:2">
      <c r="B1131" s="172"/>
    </row>
    <row r="1132" spans="2:2">
      <c r="B1132" s="172"/>
    </row>
    <row r="1133" spans="2:2">
      <c r="B1133" s="172"/>
    </row>
    <row r="1134" spans="2:2">
      <c r="B1134" s="172"/>
    </row>
    <row r="1135" spans="2:2">
      <c r="B1135" s="172"/>
    </row>
    <row r="1136" spans="2:2">
      <c r="B1136" s="172"/>
    </row>
    <row r="1137" spans="2:2">
      <c r="B1137" s="172"/>
    </row>
    <row r="1138" spans="2:2">
      <c r="B1138" s="172"/>
    </row>
    <row r="1139" spans="2:2">
      <c r="B1139" s="172"/>
    </row>
    <row r="1140" spans="2:2">
      <c r="B1140" s="172"/>
    </row>
    <row r="1141" spans="2:2">
      <c r="B1141" s="172"/>
    </row>
    <row r="1142" spans="2:2">
      <c r="B1142" s="172"/>
    </row>
    <row r="1143" spans="2:2">
      <c r="B1143" s="172"/>
    </row>
    <row r="1144" spans="2:2">
      <c r="B1144" s="172"/>
    </row>
    <row r="1145" spans="2:2">
      <c r="B1145" s="172"/>
    </row>
    <row r="1146" spans="2:2">
      <c r="B1146" s="172"/>
    </row>
    <row r="1147" spans="2:2">
      <c r="B1147" s="172"/>
    </row>
    <row r="1148" spans="2:2">
      <c r="B1148" s="172"/>
    </row>
    <row r="1149" spans="2:2">
      <c r="B1149" s="172"/>
    </row>
    <row r="1150" spans="2:2">
      <c r="B1150" s="172"/>
    </row>
    <row r="1151" spans="2:2">
      <c r="B1151" s="172"/>
    </row>
    <row r="1152" spans="2:2">
      <c r="B1152" s="172"/>
    </row>
    <row r="1153" spans="2:2">
      <c r="B1153" s="172"/>
    </row>
    <row r="1154" spans="2:2">
      <c r="B1154" s="172"/>
    </row>
    <row r="1155" spans="2:2">
      <c r="B1155" s="172"/>
    </row>
    <row r="1156" spans="2:2">
      <c r="B1156" s="172"/>
    </row>
    <row r="1157" spans="2:2">
      <c r="B1157" s="172"/>
    </row>
    <row r="1158" spans="2:2">
      <c r="B1158" s="172"/>
    </row>
    <row r="1159" spans="2:2">
      <c r="B1159" s="172"/>
    </row>
    <row r="1160" spans="2:2">
      <c r="B1160" s="172"/>
    </row>
    <row r="1161" spans="2:2">
      <c r="B1161" s="172"/>
    </row>
    <row r="1162" spans="2:2">
      <c r="B1162" s="172"/>
    </row>
    <row r="1163" spans="2:2">
      <c r="B1163" s="172"/>
    </row>
    <row r="1164" spans="2:2">
      <c r="B1164" s="172"/>
    </row>
    <row r="1165" spans="2:2">
      <c r="B1165" s="172"/>
    </row>
    <row r="1166" spans="2:2">
      <c r="B1166" s="172"/>
    </row>
    <row r="1167" spans="2:2">
      <c r="B1167" s="172"/>
    </row>
    <row r="1168" spans="2:2">
      <c r="B1168" s="172"/>
    </row>
    <row r="1169" spans="2:2">
      <c r="B1169" s="172"/>
    </row>
    <row r="1170" spans="2:2">
      <c r="B1170" s="172"/>
    </row>
    <row r="1171" spans="2:2">
      <c r="B1171" s="172"/>
    </row>
    <row r="1172" spans="2:2">
      <c r="B1172" s="172"/>
    </row>
    <row r="1173" spans="2:2">
      <c r="B1173" s="172"/>
    </row>
    <row r="1174" spans="2:2">
      <c r="B1174" s="172"/>
    </row>
    <row r="1175" spans="2:2">
      <c r="B1175" s="172"/>
    </row>
    <row r="1176" spans="2:2">
      <c r="B1176" s="172"/>
    </row>
    <row r="1177" spans="2:2">
      <c r="B1177" s="172"/>
    </row>
    <row r="1178" spans="2:2">
      <c r="B1178" s="172"/>
    </row>
    <row r="1179" spans="2:2">
      <c r="B1179" s="172"/>
    </row>
    <row r="1180" spans="2:2">
      <c r="B1180" s="172"/>
    </row>
    <row r="1181" spans="2:2">
      <c r="B1181" s="172"/>
    </row>
    <row r="1182" spans="2:2">
      <c r="B1182" s="172"/>
    </row>
    <row r="1183" spans="2:2">
      <c r="B1183" s="172"/>
    </row>
    <row r="1184" spans="2:2">
      <c r="B1184" s="172"/>
    </row>
    <row r="1185" spans="2:2">
      <c r="B1185" s="172"/>
    </row>
    <row r="1186" spans="2:2">
      <c r="B1186" s="172"/>
    </row>
    <row r="1187" spans="2:2">
      <c r="B1187" s="172"/>
    </row>
    <row r="1188" spans="2:2">
      <c r="B1188" s="172"/>
    </row>
    <row r="1189" spans="2:2">
      <c r="B1189" s="172"/>
    </row>
    <row r="1190" spans="2:2">
      <c r="B1190" s="172"/>
    </row>
    <row r="1191" spans="2:2">
      <c r="B1191" s="172"/>
    </row>
    <row r="1192" spans="2:2">
      <c r="B1192" s="172"/>
    </row>
    <row r="1193" spans="2:2">
      <c r="B1193" s="172"/>
    </row>
    <row r="1194" spans="2:2">
      <c r="B1194" s="172"/>
    </row>
    <row r="1195" spans="2:2">
      <c r="B1195" s="172"/>
    </row>
    <row r="1196" spans="2:2">
      <c r="B1196" s="172"/>
    </row>
    <row r="1197" spans="2:2">
      <c r="B1197" s="172"/>
    </row>
    <row r="1198" spans="2:2">
      <c r="B1198" s="172"/>
    </row>
    <row r="1199" spans="2:2">
      <c r="B1199" s="172"/>
    </row>
    <row r="1200" spans="2:2">
      <c r="B1200" s="172"/>
    </row>
    <row r="1201" spans="2:2">
      <c r="B1201" s="172"/>
    </row>
    <row r="1202" spans="2:2">
      <c r="B1202" s="172"/>
    </row>
    <row r="1203" spans="2:2">
      <c r="B1203" s="172"/>
    </row>
    <row r="1204" spans="2:2">
      <c r="B1204" s="172"/>
    </row>
    <row r="1205" spans="2:2">
      <c r="B1205" s="172"/>
    </row>
    <row r="1206" spans="2:2">
      <c r="B1206" s="172"/>
    </row>
    <row r="1207" spans="2:2">
      <c r="B1207" s="172"/>
    </row>
    <row r="1208" spans="2:2">
      <c r="B1208" s="172"/>
    </row>
    <row r="1209" spans="2:2">
      <c r="B1209" s="172"/>
    </row>
    <row r="1210" spans="2:2">
      <c r="B1210" s="172"/>
    </row>
    <row r="1211" spans="2:2">
      <c r="B1211" s="172"/>
    </row>
    <row r="1212" spans="2:2">
      <c r="B1212" s="172"/>
    </row>
    <row r="1213" spans="2:2">
      <c r="B1213" s="172"/>
    </row>
    <row r="1214" spans="2:2">
      <c r="B1214" s="172"/>
    </row>
    <row r="1215" spans="2:2">
      <c r="B1215" s="172"/>
    </row>
    <row r="1216" spans="2:2">
      <c r="B1216" s="172"/>
    </row>
    <row r="1217" spans="2:2">
      <c r="B1217" s="172"/>
    </row>
    <row r="1218" spans="2:2">
      <c r="B1218" s="172"/>
    </row>
    <row r="1219" spans="2:2">
      <c r="B1219" s="172"/>
    </row>
    <row r="1220" spans="2:2">
      <c r="B1220" s="172"/>
    </row>
    <row r="1221" spans="2:2">
      <c r="B1221" s="172"/>
    </row>
    <row r="1222" spans="2:2">
      <c r="B1222" s="172"/>
    </row>
    <row r="1223" spans="2:2">
      <c r="B1223" s="172"/>
    </row>
    <row r="1224" spans="2:2">
      <c r="B1224" s="172"/>
    </row>
    <row r="1225" spans="2:2">
      <c r="B1225" s="172"/>
    </row>
    <row r="1226" spans="2:2">
      <c r="B1226" s="172"/>
    </row>
    <row r="1227" spans="2:2">
      <c r="B1227" s="172"/>
    </row>
    <row r="1228" spans="2:2">
      <c r="B1228" s="172"/>
    </row>
    <row r="1229" spans="2:2">
      <c r="B1229" s="172"/>
    </row>
    <row r="1230" spans="2:2">
      <c r="B1230" s="172"/>
    </row>
    <row r="1231" spans="2:2">
      <c r="B1231" s="172"/>
    </row>
    <row r="1232" spans="2:2">
      <c r="B1232" s="172"/>
    </row>
    <row r="1233" spans="2:2">
      <c r="B1233" s="172"/>
    </row>
    <row r="1234" spans="2:2">
      <c r="B1234" s="172"/>
    </row>
    <row r="1235" spans="2:2">
      <c r="B1235" s="172"/>
    </row>
    <row r="1236" spans="2:2">
      <c r="B1236" s="172"/>
    </row>
    <row r="1237" spans="2:2">
      <c r="B1237" s="172"/>
    </row>
    <row r="1238" spans="2:2">
      <c r="B1238" s="172"/>
    </row>
    <row r="1239" spans="2:2">
      <c r="B1239" s="172"/>
    </row>
    <row r="1240" spans="2:2">
      <c r="B1240" s="172"/>
    </row>
    <row r="1241" spans="2:2">
      <c r="B1241" s="172"/>
    </row>
    <row r="1242" spans="2:2">
      <c r="B1242" s="172"/>
    </row>
    <row r="1243" spans="2:2">
      <c r="B1243" s="172"/>
    </row>
    <row r="1244" spans="2:2">
      <c r="B1244" s="172"/>
    </row>
    <row r="1245" spans="2:2">
      <c r="B1245" s="172"/>
    </row>
    <row r="1246" spans="2:2">
      <c r="B1246" s="172"/>
    </row>
    <row r="1247" spans="2:2">
      <c r="B1247" s="172"/>
    </row>
    <row r="1248" spans="2:2">
      <c r="B1248" s="172"/>
    </row>
    <row r="1249" spans="2:2">
      <c r="B1249" s="172"/>
    </row>
    <row r="1250" spans="2:2">
      <c r="B1250" s="172"/>
    </row>
    <row r="1251" spans="2:2">
      <c r="B1251" s="172"/>
    </row>
    <row r="1252" spans="2:2">
      <c r="B1252" s="172"/>
    </row>
    <row r="1253" spans="2:2">
      <c r="B1253" s="172"/>
    </row>
    <row r="1254" spans="2:2">
      <c r="B1254" s="172"/>
    </row>
    <row r="1255" spans="2:2">
      <c r="B1255" s="172"/>
    </row>
    <row r="1256" spans="2:2">
      <c r="B1256" s="172"/>
    </row>
    <row r="1257" spans="2:2">
      <c r="B1257" s="172"/>
    </row>
    <row r="1258" spans="2:2">
      <c r="B1258" s="172"/>
    </row>
    <row r="1259" spans="2:2">
      <c r="B1259" s="172"/>
    </row>
    <row r="1260" spans="2:2">
      <c r="B1260" s="172"/>
    </row>
    <row r="1261" spans="2:2">
      <c r="B1261" s="172"/>
    </row>
    <row r="1262" spans="2:2">
      <c r="B1262" s="172"/>
    </row>
    <row r="1263" spans="2:2">
      <c r="B1263" s="172"/>
    </row>
    <row r="1264" spans="2:2">
      <c r="B1264" s="172"/>
    </row>
    <row r="1265" spans="2:2">
      <c r="B1265" s="172"/>
    </row>
    <row r="1266" spans="2:2">
      <c r="B1266" s="172"/>
    </row>
    <row r="1267" spans="2:2">
      <c r="B1267" s="172"/>
    </row>
    <row r="1268" spans="2:2">
      <c r="B1268" s="172"/>
    </row>
    <row r="1269" spans="2:2">
      <c r="B1269" s="172"/>
    </row>
    <row r="1270" spans="2:2">
      <c r="B1270" s="172"/>
    </row>
    <row r="1271" spans="2:2">
      <c r="B1271" s="172"/>
    </row>
    <row r="1272" spans="2:2">
      <c r="B1272" s="172"/>
    </row>
    <row r="1273" spans="2:2">
      <c r="B1273" s="172"/>
    </row>
    <row r="1274" spans="2:2">
      <c r="B1274" s="172"/>
    </row>
    <row r="1275" spans="2:2">
      <c r="B1275" s="172"/>
    </row>
    <row r="1276" spans="2:2">
      <c r="B1276" s="172"/>
    </row>
    <row r="1277" spans="2:2">
      <c r="B1277" s="172"/>
    </row>
    <row r="1278" spans="2:2">
      <c r="B1278" s="172"/>
    </row>
    <row r="1279" spans="2:2">
      <c r="B1279" s="172"/>
    </row>
    <row r="1280" spans="2:2">
      <c r="B1280" s="172"/>
    </row>
    <row r="1281" spans="2:2">
      <c r="B1281" s="172"/>
    </row>
    <row r="1282" spans="2:2">
      <c r="B1282" s="172"/>
    </row>
    <row r="1283" spans="2:2">
      <c r="B1283" s="172"/>
    </row>
    <row r="1284" spans="2:2">
      <c r="B1284" s="172"/>
    </row>
    <row r="1285" spans="2:2">
      <c r="B1285" s="172"/>
    </row>
    <row r="1286" spans="2:2">
      <c r="B1286" s="172"/>
    </row>
    <row r="1287" spans="2:2">
      <c r="B1287" s="172"/>
    </row>
    <row r="1288" spans="2:2">
      <c r="B1288" s="172"/>
    </row>
    <row r="1289" spans="2:2">
      <c r="B1289" s="172"/>
    </row>
    <row r="1290" spans="2:2">
      <c r="B1290" s="172"/>
    </row>
    <row r="1291" spans="2:2">
      <c r="B1291" s="172"/>
    </row>
    <row r="1292" spans="2:2">
      <c r="B1292" s="172"/>
    </row>
    <row r="1293" spans="2:2">
      <c r="B1293" s="172"/>
    </row>
    <row r="1294" spans="2:2">
      <c r="B1294" s="172"/>
    </row>
    <row r="1295" spans="2:2">
      <c r="B1295" s="172"/>
    </row>
    <row r="1296" spans="2:2">
      <c r="B1296" s="172"/>
    </row>
    <row r="1297" spans="2:2">
      <c r="B1297" s="172"/>
    </row>
    <row r="1298" spans="2:2">
      <c r="B1298" s="172"/>
    </row>
    <row r="1299" spans="2:2">
      <c r="B1299" s="172"/>
    </row>
    <row r="1300" spans="2:2">
      <c r="B1300" s="172"/>
    </row>
    <row r="1301" spans="2:2">
      <c r="B1301" s="172"/>
    </row>
    <row r="1302" spans="2:2">
      <c r="B1302" s="172"/>
    </row>
    <row r="1303" spans="2:2">
      <c r="B1303" s="172"/>
    </row>
    <row r="1304" spans="2:2">
      <c r="B1304" s="172"/>
    </row>
    <row r="1305" spans="2:2">
      <c r="B1305" s="172"/>
    </row>
    <row r="1306" spans="2:2">
      <c r="B1306" s="172"/>
    </row>
    <row r="1307" spans="2:2">
      <c r="B1307" s="172"/>
    </row>
    <row r="1308" spans="2:2">
      <c r="B1308" s="172"/>
    </row>
    <row r="1309" spans="2:2">
      <c r="B1309" s="172"/>
    </row>
    <row r="1310" spans="2:2">
      <c r="B1310" s="172"/>
    </row>
    <row r="1311" spans="2:2">
      <c r="B1311" s="172"/>
    </row>
    <row r="1312" spans="2:2">
      <c r="B1312" s="172"/>
    </row>
    <row r="1313" spans="2:2">
      <c r="B1313" s="172"/>
    </row>
    <row r="1314" spans="2:2">
      <c r="B1314" s="172"/>
    </row>
    <row r="1315" spans="2:2">
      <c r="B1315" s="172"/>
    </row>
    <row r="1316" spans="2:2">
      <c r="B1316" s="172"/>
    </row>
    <row r="1317" spans="2:2">
      <c r="B1317" s="172"/>
    </row>
    <row r="1318" spans="2:2">
      <c r="B1318" s="172"/>
    </row>
    <row r="1319" spans="2:2">
      <c r="B1319" s="172"/>
    </row>
    <row r="1320" spans="2:2">
      <c r="B1320" s="172"/>
    </row>
    <row r="1321" spans="2:2">
      <c r="B1321" s="172"/>
    </row>
    <row r="1322" spans="2:2">
      <c r="B1322" s="172"/>
    </row>
    <row r="1323" spans="2:2">
      <c r="B1323" s="172"/>
    </row>
    <row r="1324" spans="2:2">
      <c r="B1324" s="172"/>
    </row>
    <row r="1325" spans="2:2">
      <c r="B1325" s="172"/>
    </row>
    <row r="1326" spans="2:2">
      <c r="B1326" s="172"/>
    </row>
    <row r="1327" spans="2:2">
      <c r="B1327" s="172"/>
    </row>
    <row r="1328" spans="2:2">
      <c r="B1328" s="172"/>
    </row>
    <row r="1329" spans="2:2">
      <c r="B1329" s="172"/>
    </row>
    <row r="1330" spans="2:2">
      <c r="B1330" s="172"/>
    </row>
    <row r="1331" spans="2:2">
      <c r="B1331" s="172"/>
    </row>
    <row r="1332" spans="2:2">
      <c r="B1332" s="172"/>
    </row>
    <row r="1333" spans="2:2">
      <c r="B1333" s="172"/>
    </row>
    <row r="1334" spans="2:2">
      <c r="B1334" s="172"/>
    </row>
    <row r="1335" spans="2:2">
      <c r="B1335" s="172"/>
    </row>
    <row r="1336" spans="2:2">
      <c r="B1336" s="172"/>
    </row>
    <row r="1337" spans="2:2">
      <c r="B1337" s="172"/>
    </row>
    <row r="1338" spans="2:2">
      <c r="B1338" s="172"/>
    </row>
    <row r="1339" spans="2:2">
      <c r="B1339" s="172"/>
    </row>
    <row r="1340" spans="2:2">
      <c r="B1340" s="172"/>
    </row>
    <row r="1341" spans="2:2">
      <c r="B1341" s="172"/>
    </row>
    <row r="1342" spans="2:2">
      <c r="B1342" s="172"/>
    </row>
    <row r="1343" spans="2:2">
      <c r="B1343" s="172"/>
    </row>
    <row r="1344" spans="2:2">
      <c r="B1344" s="172"/>
    </row>
    <row r="1345" spans="2:2">
      <c r="B1345" s="172"/>
    </row>
    <row r="1346" spans="2:2">
      <c r="B1346" s="172"/>
    </row>
    <row r="1347" spans="2:2">
      <c r="B1347" s="172"/>
    </row>
    <row r="1348" spans="2:2">
      <c r="B1348" s="172"/>
    </row>
    <row r="1349" spans="2:2">
      <c r="B1349" s="172"/>
    </row>
    <row r="1350" spans="2:2">
      <c r="B1350" s="172"/>
    </row>
    <row r="1351" spans="2:2">
      <c r="B1351" s="172"/>
    </row>
    <row r="1352" spans="2:2">
      <c r="B1352" s="172"/>
    </row>
    <row r="1353" spans="2:2">
      <c r="B1353" s="172"/>
    </row>
    <row r="1354" spans="2:2">
      <c r="B1354" s="172"/>
    </row>
    <row r="1355" spans="2:2">
      <c r="B1355" s="172"/>
    </row>
    <row r="1356" spans="2:2">
      <c r="B1356" s="172"/>
    </row>
    <row r="1357" spans="2:2">
      <c r="B1357" s="172"/>
    </row>
    <row r="1358" spans="2:2">
      <c r="B1358" s="172"/>
    </row>
    <row r="1359" spans="2:2">
      <c r="B1359" s="172"/>
    </row>
    <row r="1360" spans="2:2">
      <c r="B1360" s="172"/>
    </row>
    <row r="1361" spans="2:2">
      <c r="B1361" s="172"/>
    </row>
    <row r="1362" spans="2:2">
      <c r="B1362" s="172"/>
    </row>
    <row r="1363" spans="2:2">
      <c r="B1363" s="172"/>
    </row>
    <row r="1364" spans="2:2">
      <c r="B1364" s="172"/>
    </row>
    <row r="1365" spans="2:2">
      <c r="B1365" s="172"/>
    </row>
    <row r="1366" spans="2:2">
      <c r="B1366" s="172"/>
    </row>
    <row r="1367" spans="2:2">
      <c r="B1367" s="172"/>
    </row>
    <row r="1368" spans="2:2">
      <c r="B1368" s="172"/>
    </row>
    <row r="1369" spans="2:2">
      <c r="B1369" s="172"/>
    </row>
    <row r="1370" spans="2:2">
      <c r="B1370" s="172"/>
    </row>
    <row r="1371" spans="2:2">
      <c r="B1371" s="172"/>
    </row>
    <row r="1372" spans="2:2">
      <c r="B1372" s="172"/>
    </row>
    <row r="1373" spans="2:2">
      <c r="B1373" s="172"/>
    </row>
    <row r="1374" spans="2:2">
      <c r="B1374" s="172"/>
    </row>
    <row r="1375" spans="2:2">
      <c r="B1375" s="172"/>
    </row>
    <row r="1376" spans="2:2">
      <c r="B1376" s="172"/>
    </row>
    <row r="1377" spans="2:2">
      <c r="B1377" s="172"/>
    </row>
    <row r="1378" spans="2:2">
      <c r="B1378" s="172"/>
    </row>
    <row r="1379" spans="2:2">
      <c r="B1379" s="172"/>
    </row>
    <row r="1380" spans="2:2">
      <c r="B1380" s="172"/>
    </row>
    <row r="1381" spans="2:2">
      <c r="B1381" s="172"/>
    </row>
    <row r="1382" spans="2:2">
      <c r="B1382" s="172"/>
    </row>
    <row r="1383" spans="2:2">
      <c r="B1383" s="172"/>
    </row>
    <row r="1384" spans="2:2">
      <c r="B1384" s="172"/>
    </row>
    <row r="1385" spans="2:2">
      <c r="B1385" s="172"/>
    </row>
    <row r="1386" spans="2:2">
      <c r="B1386" s="172"/>
    </row>
    <row r="1387" spans="2:2">
      <c r="B1387" s="172"/>
    </row>
    <row r="1388" spans="2:2">
      <c r="B1388" s="172"/>
    </row>
    <row r="1389" spans="2:2">
      <c r="B1389" s="172"/>
    </row>
    <row r="1390" spans="2:2">
      <c r="B1390" s="172"/>
    </row>
    <row r="1391" spans="2:2">
      <c r="B1391" s="172"/>
    </row>
    <row r="1392" spans="2:2">
      <c r="B1392" s="172"/>
    </row>
    <row r="1393" spans="2:2">
      <c r="B1393" s="172"/>
    </row>
    <row r="1394" spans="2:2">
      <c r="B1394" s="172"/>
    </row>
    <row r="1395" spans="2:2">
      <c r="B1395" s="172"/>
    </row>
    <row r="1396" spans="2:2">
      <c r="B1396" s="172"/>
    </row>
    <row r="1397" spans="2:2">
      <c r="B1397" s="172"/>
    </row>
    <row r="1398" spans="2:2">
      <c r="B1398" s="172"/>
    </row>
    <row r="1399" spans="2:2">
      <c r="B1399" s="172"/>
    </row>
    <row r="1400" spans="2:2">
      <c r="B1400" s="172"/>
    </row>
    <row r="1401" spans="2:2">
      <c r="B1401" s="172"/>
    </row>
    <row r="1402" spans="2:2">
      <c r="B1402" s="172"/>
    </row>
    <row r="1403" spans="2:2">
      <c r="B1403" s="172"/>
    </row>
    <row r="1404" spans="2:2">
      <c r="B1404" s="172"/>
    </row>
    <row r="1405" spans="2:2">
      <c r="B1405" s="172"/>
    </row>
    <row r="1406" spans="2:2">
      <c r="B1406" s="172"/>
    </row>
    <row r="1407" spans="2:2">
      <c r="B1407" s="172"/>
    </row>
    <row r="1408" spans="2:2">
      <c r="B1408" s="172"/>
    </row>
    <row r="1409" spans="2:2">
      <c r="B1409" s="172"/>
    </row>
    <row r="1410" spans="2:2">
      <c r="B1410" s="172"/>
    </row>
    <row r="1411" spans="2:2">
      <c r="B1411" s="172"/>
    </row>
    <row r="1412" spans="2:2">
      <c r="B1412" s="172"/>
    </row>
    <row r="1413" spans="2:2">
      <c r="B1413" s="172"/>
    </row>
    <row r="1414" spans="2:2">
      <c r="B1414" s="172"/>
    </row>
    <row r="1415" spans="2:2">
      <c r="B1415" s="172"/>
    </row>
    <row r="1416" spans="2:2">
      <c r="B1416" s="172"/>
    </row>
    <row r="1417" spans="2:2">
      <c r="B1417" s="172"/>
    </row>
    <row r="1418" spans="2:2">
      <c r="B1418" s="172"/>
    </row>
    <row r="1419" spans="2:2">
      <c r="B1419" s="172"/>
    </row>
    <row r="1420" spans="2:2">
      <c r="B1420" s="172"/>
    </row>
    <row r="1421" spans="2:2">
      <c r="B1421" s="172"/>
    </row>
    <row r="1422" spans="2:2">
      <c r="B1422" s="172"/>
    </row>
    <row r="1423" spans="2:2">
      <c r="B1423" s="172"/>
    </row>
    <row r="1424" spans="2:2">
      <c r="B1424" s="172"/>
    </row>
    <row r="1425" spans="2:2">
      <c r="B1425" s="172"/>
    </row>
    <row r="1426" spans="2:2">
      <c r="B1426" s="172"/>
    </row>
    <row r="1427" spans="2:2">
      <c r="B1427" s="172"/>
    </row>
    <row r="1428" spans="2:2">
      <c r="B1428" s="172"/>
    </row>
    <row r="1429" spans="2:2">
      <c r="B1429" s="172"/>
    </row>
    <row r="1430" spans="2:2">
      <c r="B1430" s="172"/>
    </row>
    <row r="1431" spans="2:2">
      <c r="B1431" s="172"/>
    </row>
    <row r="1432" spans="2:2">
      <c r="B1432" s="172"/>
    </row>
    <row r="1433" spans="2:2">
      <c r="B1433" s="172"/>
    </row>
    <row r="1434" spans="2:2">
      <c r="B1434" s="172"/>
    </row>
    <row r="1435" spans="2:2">
      <c r="B1435" s="172"/>
    </row>
    <row r="1436" spans="2:2">
      <c r="B1436" s="172"/>
    </row>
    <row r="1437" spans="2:2">
      <c r="B1437" s="172"/>
    </row>
    <row r="1438" spans="2:2">
      <c r="B1438" s="172"/>
    </row>
    <row r="1439" spans="2:2">
      <c r="B1439" s="172"/>
    </row>
    <row r="1440" spans="2:2">
      <c r="B1440" s="172"/>
    </row>
    <row r="1441" spans="2:2">
      <c r="B1441" s="172"/>
    </row>
    <row r="1442" spans="2:2">
      <c r="B1442" s="172"/>
    </row>
    <row r="1443" spans="2:2">
      <c r="B1443" s="172"/>
    </row>
    <row r="1444" spans="2:2">
      <c r="B1444" s="172"/>
    </row>
    <row r="1445" spans="2:2">
      <c r="B1445" s="172"/>
    </row>
    <row r="1446" spans="2:2">
      <c r="B1446" s="172"/>
    </row>
    <row r="1447" spans="2:2">
      <c r="B1447" s="172"/>
    </row>
    <row r="1448" spans="2:2">
      <c r="B1448" s="172"/>
    </row>
    <row r="1449" spans="2:2">
      <c r="B1449" s="172"/>
    </row>
    <row r="1450" spans="2:2">
      <c r="B1450" s="172"/>
    </row>
    <row r="1451" spans="2:2">
      <c r="B1451" s="172"/>
    </row>
    <row r="1452" spans="2:2">
      <c r="B1452" s="172"/>
    </row>
    <row r="1453" spans="2:2">
      <c r="B1453" s="172"/>
    </row>
    <row r="1454" spans="2:2">
      <c r="B1454" s="172"/>
    </row>
    <row r="1455" spans="2:2">
      <c r="B1455" s="172"/>
    </row>
    <row r="1456" spans="2:2">
      <c r="B1456" s="172"/>
    </row>
    <row r="1457" spans="2:2">
      <c r="B1457" s="172"/>
    </row>
    <row r="1458" spans="2:2">
      <c r="B1458" s="172"/>
    </row>
    <row r="1459" spans="2:2">
      <c r="B1459" s="172"/>
    </row>
    <row r="1460" spans="2:2">
      <c r="B1460" s="172"/>
    </row>
    <row r="1461" spans="2:2">
      <c r="B1461" s="172"/>
    </row>
    <row r="1462" spans="2:2">
      <c r="B1462" s="172"/>
    </row>
    <row r="1463" spans="2:2">
      <c r="B1463" s="172"/>
    </row>
    <row r="1464" spans="2:2">
      <c r="B1464" s="172"/>
    </row>
    <row r="1465" spans="2:2">
      <c r="B1465" s="172"/>
    </row>
    <row r="1466" spans="2:2">
      <c r="B1466" s="172"/>
    </row>
    <row r="1467" spans="2:2">
      <c r="B1467" s="172"/>
    </row>
    <row r="1468" spans="2:2">
      <c r="B1468" s="172"/>
    </row>
    <row r="1469" spans="2:2">
      <c r="B1469" s="172"/>
    </row>
    <row r="1470" spans="2:2">
      <c r="B1470" s="172"/>
    </row>
    <row r="1471" spans="2:2">
      <c r="B1471" s="172"/>
    </row>
    <row r="1472" spans="2:2">
      <c r="B1472" s="172"/>
    </row>
    <row r="1473" spans="2:2">
      <c r="B1473" s="172"/>
    </row>
    <row r="1474" spans="2:2">
      <c r="B1474" s="172"/>
    </row>
    <row r="1475" spans="2:2">
      <c r="B1475" s="172"/>
    </row>
    <row r="1476" spans="2:2">
      <c r="B1476" s="172"/>
    </row>
    <row r="1477" spans="2:2">
      <c r="B1477" s="172"/>
    </row>
    <row r="1478" spans="2:2">
      <c r="B1478" s="172"/>
    </row>
    <row r="1479" spans="2:2">
      <c r="B1479" s="172"/>
    </row>
    <row r="1480" spans="2:2">
      <c r="B1480" s="172"/>
    </row>
    <row r="1481" spans="2:2">
      <c r="B1481" s="172"/>
    </row>
    <row r="1482" spans="2:2">
      <c r="B1482" s="172"/>
    </row>
    <row r="1483" spans="2:2">
      <c r="B1483" s="172"/>
    </row>
    <row r="1484" spans="2:2">
      <c r="B1484" s="172"/>
    </row>
    <row r="1485" spans="2:2">
      <c r="B1485" s="172"/>
    </row>
    <row r="1486" spans="2:2">
      <c r="B1486" s="172"/>
    </row>
    <row r="1487" spans="2:2">
      <c r="B1487" s="172"/>
    </row>
    <row r="1488" spans="2:2">
      <c r="B1488" s="172"/>
    </row>
    <row r="1489" spans="2:2">
      <c r="B1489" s="172"/>
    </row>
    <row r="1490" spans="2:2">
      <c r="B1490" s="172"/>
    </row>
    <row r="1491" spans="2:2">
      <c r="B1491" s="172"/>
    </row>
    <row r="1492" spans="2:2">
      <c r="B1492" s="172"/>
    </row>
    <row r="1493" spans="2:2">
      <c r="B1493" s="172"/>
    </row>
    <row r="1494" spans="2:2">
      <c r="B1494" s="172"/>
    </row>
    <row r="1495" spans="2:2">
      <c r="B1495" s="172"/>
    </row>
    <row r="1496" spans="2:2">
      <c r="B1496" s="172"/>
    </row>
    <row r="1497" spans="2:2">
      <c r="B1497" s="172"/>
    </row>
    <row r="1498" spans="2:2">
      <c r="B1498" s="172"/>
    </row>
    <row r="1499" spans="2:2">
      <c r="B1499" s="172"/>
    </row>
    <row r="1500" spans="2:2">
      <c r="B1500" s="172"/>
    </row>
    <row r="1501" spans="2:2">
      <c r="B1501" s="172"/>
    </row>
    <row r="1502" spans="2:2">
      <c r="B1502" s="172"/>
    </row>
    <row r="1503" spans="2:2">
      <c r="B1503" s="172"/>
    </row>
    <row r="1504" spans="2:2">
      <c r="B1504" s="172"/>
    </row>
    <row r="1505" spans="2:2">
      <c r="B1505" s="172"/>
    </row>
    <row r="1506" spans="2:2">
      <c r="B1506" s="172"/>
    </row>
    <row r="1507" spans="2:2">
      <c r="B1507" s="172"/>
    </row>
    <row r="1508" spans="2:2">
      <c r="B1508" s="172"/>
    </row>
    <row r="1509" spans="2:2">
      <c r="B1509" s="172"/>
    </row>
    <row r="1510" spans="2:2">
      <c r="B1510" s="172"/>
    </row>
    <row r="1511" spans="2:2">
      <c r="B1511" s="172"/>
    </row>
    <row r="1512" spans="2:2">
      <c r="B1512" s="172"/>
    </row>
    <row r="1513" spans="2:2">
      <c r="B1513" s="172"/>
    </row>
    <row r="1514" spans="2:2">
      <c r="B1514" s="172"/>
    </row>
    <row r="1515" spans="2:2">
      <c r="B1515" s="172"/>
    </row>
    <row r="1516" spans="2:2">
      <c r="B1516" s="172"/>
    </row>
    <row r="1517" spans="2:2">
      <c r="B1517" s="172"/>
    </row>
    <row r="1518" spans="2:2">
      <c r="B1518" s="172"/>
    </row>
    <row r="1519" spans="2:2">
      <c r="B1519" s="172"/>
    </row>
    <row r="1520" spans="2:2">
      <c r="B1520" s="172"/>
    </row>
    <row r="1521" spans="2:2">
      <c r="B1521" s="172"/>
    </row>
    <row r="1522" spans="2:2">
      <c r="B1522" s="172"/>
    </row>
    <row r="1523" spans="2:2">
      <c r="B1523" s="172"/>
    </row>
    <row r="1524" spans="2:2">
      <c r="B1524" s="172"/>
    </row>
    <row r="1525" spans="2:2">
      <c r="B1525" s="172"/>
    </row>
    <row r="1526" spans="2:2">
      <c r="B1526" s="172"/>
    </row>
    <row r="1527" spans="2:2">
      <c r="B1527" s="172"/>
    </row>
    <row r="1528" spans="2:2">
      <c r="B1528" s="172"/>
    </row>
    <row r="1529" spans="2:2">
      <c r="B1529" s="172"/>
    </row>
    <row r="1530" spans="2:2">
      <c r="B1530" s="172"/>
    </row>
    <row r="1531" spans="2:2">
      <c r="B1531" s="172"/>
    </row>
    <row r="1532" spans="2:2">
      <c r="B1532" s="172"/>
    </row>
    <row r="1533" spans="2:2">
      <c r="B1533" s="172"/>
    </row>
    <row r="1534" spans="2:2">
      <c r="B1534" s="172"/>
    </row>
    <row r="1535" spans="2:2">
      <c r="B1535" s="172"/>
    </row>
    <row r="1536" spans="2:2">
      <c r="B1536" s="172"/>
    </row>
    <row r="1537" spans="2:2">
      <c r="B1537" s="172"/>
    </row>
    <row r="1538" spans="2:2">
      <c r="B1538" s="172"/>
    </row>
    <row r="1539" spans="2:2">
      <c r="B1539" s="172"/>
    </row>
    <row r="1540" spans="2:2">
      <c r="B1540" s="172"/>
    </row>
    <row r="1541" spans="2:2">
      <c r="B1541" s="172"/>
    </row>
    <row r="1542" spans="2:2">
      <c r="B1542" s="172"/>
    </row>
    <row r="1543" spans="2:2">
      <c r="B1543" s="172"/>
    </row>
    <row r="1544" spans="2:2">
      <c r="B1544" s="172"/>
    </row>
    <row r="1545" spans="2:2">
      <c r="B1545" s="172"/>
    </row>
    <row r="1546" spans="2:2">
      <c r="B1546" s="172"/>
    </row>
    <row r="1547" spans="2:2">
      <c r="B1547" s="172"/>
    </row>
    <row r="1548" spans="2:2">
      <c r="B1548" s="172"/>
    </row>
    <row r="1549" spans="2:2">
      <c r="B1549" s="172"/>
    </row>
    <row r="1550" spans="2:2">
      <c r="B1550" s="172"/>
    </row>
    <row r="1551" spans="2:2">
      <c r="B1551" s="172"/>
    </row>
    <row r="1552" spans="2:2">
      <c r="B1552" s="172"/>
    </row>
    <row r="1553" spans="2:2">
      <c r="B1553" s="172"/>
    </row>
    <row r="1554" spans="2:2">
      <c r="B1554" s="172"/>
    </row>
    <row r="1555" spans="2:2">
      <c r="B1555" s="172"/>
    </row>
    <row r="1556" spans="2:2">
      <c r="B1556" s="172"/>
    </row>
    <row r="1557" spans="2:2">
      <c r="B1557" s="172"/>
    </row>
    <row r="1558" spans="2:2">
      <c r="B1558" s="172"/>
    </row>
    <row r="1559" spans="2:2">
      <c r="B1559" s="172"/>
    </row>
    <row r="1560" spans="2:2">
      <c r="B1560" s="172"/>
    </row>
    <row r="1561" spans="2:2">
      <c r="B1561" s="172"/>
    </row>
    <row r="1562" spans="2:2">
      <c r="B1562" s="172"/>
    </row>
    <row r="1563" spans="2:2">
      <c r="B1563" s="172"/>
    </row>
    <row r="1564" spans="2:2">
      <c r="B1564" s="172"/>
    </row>
    <row r="1565" spans="2:2">
      <c r="B1565" s="172"/>
    </row>
    <row r="1566" spans="2:2">
      <c r="B1566" s="172"/>
    </row>
    <row r="1567" spans="2:2">
      <c r="B1567" s="172"/>
    </row>
    <row r="1568" spans="2:2">
      <c r="B1568" s="172"/>
    </row>
    <row r="1569" spans="2:2">
      <c r="B1569" s="172"/>
    </row>
    <row r="1570" spans="2:2">
      <c r="B1570" s="172"/>
    </row>
    <row r="1571" spans="2:2">
      <c r="B1571" s="172"/>
    </row>
    <row r="1572" spans="2:2">
      <c r="B1572" s="172"/>
    </row>
    <row r="1573" spans="2:2">
      <c r="B1573" s="172"/>
    </row>
    <row r="1574" spans="2:2">
      <c r="B1574" s="172"/>
    </row>
    <row r="1575" spans="2:2">
      <c r="B1575" s="172"/>
    </row>
    <row r="1576" spans="2:2">
      <c r="B1576" s="172"/>
    </row>
    <row r="1577" spans="2:2">
      <c r="B1577" s="172"/>
    </row>
    <row r="1578" spans="2:2">
      <c r="B1578" s="172"/>
    </row>
    <row r="1579" spans="2:2">
      <c r="B1579" s="172"/>
    </row>
    <row r="1580" spans="2:2">
      <c r="B1580" s="172"/>
    </row>
    <row r="1581" spans="2:2">
      <c r="B1581" s="172"/>
    </row>
    <row r="1582" spans="2:2">
      <c r="B1582" s="172"/>
    </row>
    <row r="1583" spans="2:2">
      <c r="B1583" s="172"/>
    </row>
    <row r="1584" spans="2:2">
      <c r="B1584" s="172"/>
    </row>
    <row r="1585" spans="2:2">
      <c r="B1585" s="172"/>
    </row>
    <row r="1586" spans="2:2">
      <c r="B1586" s="172"/>
    </row>
    <row r="1587" spans="2:2">
      <c r="B1587" s="172"/>
    </row>
    <row r="1588" spans="2:2">
      <c r="B1588" s="172"/>
    </row>
    <row r="1589" spans="2:2">
      <c r="B1589" s="172"/>
    </row>
    <row r="1590" spans="2:2">
      <c r="B1590" s="172"/>
    </row>
    <row r="1591" spans="2:2">
      <c r="B1591" s="172"/>
    </row>
    <row r="1592" spans="2:2">
      <c r="B1592" s="172"/>
    </row>
    <row r="1593" spans="2:2">
      <c r="B1593" s="172"/>
    </row>
    <row r="1594" spans="2:2">
      <c r="B1594" s="172"/>
    </row>
    <row r="1595" spans="2:2">
      <c r="B1595" s="172"/>
    </row>
    <row r="1596" spans="2:2">
      <c r="B1596" s="172"/>
    </row>
    <row r="1597" spans="2:2">
      <c r="B1597" s="172"/>
    </row>
    <row r="1598" spans="2:2">
      <c r="B1598" s="172"/>
    </row>
    <row r="1599" spans="2:2">
      <c r="B1599" s="172"/>
    </row>
    <row r="1600" spans="2:2">
      <c r="B1600" s="172"/>
    </row>
    <row r="1601" spans="2:2">
      <c r="B1601" s="172"/>
    </row>
    <row r="1602" spans="2:2">
      <c r="B1602" s="172"/>
    </row>
    <row r="1603" spans="2:2">
      <c r="B1603" s="172"/>
    </row>
    <row r="1604" spans="2:2">
      <c r="B1604" s="172"/>
    </row>
    <row r="1605" spans="2:2">
      <c r="B1605" s="172"/>
    </row>
    <row r="1606" spans="2:2">
      <c r="B1606" s="172"/>
    </row>
    <row r="1607" spans="2:2">
      <c r="B1607" s="172"/>
    </row>
    <row r="1608" spans="2:2">
      <c r="B1608" s="172"/>
    </row>
    <row r="1609" spans="2:2">
      <c r="B1609" s="172"/>
    </row>
    <row r="1610" spans="2:2">
      <c r="B1610" s="172"/>
    </row>
    <row r="1611" spans="2:2">
      <c r="B1611" s="172"/>
    </row>
    <row r="1612" spans="2:2">
      <c r="B1612" s="172"/>
    </row>
    <row r="1613" spans="2:2">
      <c r="B1613" s="172"/>
    </row>
    <row r="1614" spans="2:2">
      <c r="B1614" s="172"/>
    </row>
    <row r="1615" spans="2:2">
      <c r="B1615" s="172"/>
    </row>
    <row r="1616" spans="2:2">
      <c r="B1616" s="172"/>
    </row>
    <row r="1617" spans="2:2">
      <c r="B1617" s="172"/>
    </row>
    <row r="1618" spans="2:2">
      <c r="B1618" s="172"/>
    </row>
    <row r="1619" spans="2:2">
      <c r="B1619" s="172"/>
    </row>
    <row r="1620" spans="2:2">
      <c r="B1620" s="172"/>
    </row>
    <row r="1621" spans="2:2">
      <c r="B1621" s="172"/>
    </row>
    <row r="1622" spans="2:2">
      <c r="B1622" s="172"/>
    </row>
    <row r="1623" spans="2:2">
      <c r="B1623" s="172"/>
    </row>
    <row r="1624" spans="2:2">
      <c r="B1624" s="172"/>
    </row>
    <row r="1625" spans="2:2">
      <c r="B1625" s="172"/>
    </row>
    <row r="1626" spans="2:2">
      <c r="B1626" s="172"/>
    </row>
    <row r="1627" spans="2:2">
      <c r="B1627" s="172"/>
    </row>
    <row r="1628" spans="2:2">
      <c r="B1628" s="172"/>
    </row>
    <row r="1629" spans="2:2">
      <c r="B1629" s="172"/>
    </row>
    <row r="1630" spans="2:2">
      <c r="B1630" s="172"/>
    </row>
    <row r="1631" spans="2:2">
      <c r="B1631" s="172"/>
    </row>
    <row r="1632" spans="2:2">
      <c r="B1632" s="172"/>
    </row>
    <row r="1633" spans="2:2">
      <c r="B1633" s="172"/>
    </row>
    <row r="1634" spans="2:2">
      <c r="B1634" s="172"/>
    </row>
    <row r="1635" spans="2:2">
      <c r="B1635" s="172"/>
    </row>
    <row r="1636" spans="2:2">
      <c r="B1636" s="172"/>
    </row>
    <row r="1637" spans="2:2">
      <c r="B1637" s="172"/>
    </row>
    <row r="1638" spans="2:2">
      <c r="B1638" s="172"/>
    </row>
    <row r="1639" spans="2:2">
      <c r="B1639" s="172"/>
    </row>
    <row r="1640" spans="2:2">
      <c r="B1640" s="172"/>
    </row>
    <row r="1641" spans="2:2">
      <c r="B1641" s="172"/>
    </row>
    <row r="1642" spans="2:2">
      <c r="B1642" s="172"/>
    </row>
    <row r="1643" spans="2:2">
      <c r="B1643" s="172"/>
    </row>
    <row r="1644" spans="2:2">
      <c r="B1644" s="172"/>
    </row>
    <row r="1645" spans="2:2">
      <c r="B1645" s="172"/>
    </row>
    <row r="1646" spans="2:2">
      <c r="B1646" s="172"/>
    </row>
    <row r="1647" spans="2:2">
      <c r="B1647" s="172"/>
    </row>
    <row r="1648" spans="2:2">
      <c r="B1648" s="172"/>
    </row>
    <row r="1649" spans="2:2">
      <c r="B1649" s="172"/>
    </row>
    <row r="1650" spans="2:2">
      <c r="B1650" s="172"/>
    </row>
    <row r="1651" spans="2:2">
      <c r="B1651" s="172"/>
    </row>
    <row r="1652" spans="2:2">
      <c r="B1652" s="172"/>
    </row>
    <row r="1653" spans="2:2">
      <c r="B1653" s="172"/>
    </row>
    <row r="1654" spans="2:2">
      <c r="B1654" s="172"/>
    </row>
    <row r="1655" spans="2:2">
      <c r="B1655" s="172"/>
    </row>
    <row r="1656" spans="2:2">
      <c r="B1656" s="172"/>
    </row>
    <row r="1657" spans="2:2">
      <c r="B1657" s="172"/>
    </row>
    <row r="1658" spans="2:2">
      <c r="B1658" s="172"/>
    </row>
    <row r="1659" spans="2:2">
      <c r="B1659" s="172"/>
    </row>
    <row r="1660" spans="2:2">
      <c r="B1660" s="172"/>
    </row>
    <row r="1661" spans="2:2">
      <c r="B1661" s="172"/>
    </row>
    <row r="1662" spans="2:2">
      <c r="B1662" s="172"/>
    </row>
    <row r="1663" spans="2:2">
      <c r="B1663" s="172"/>
    </row>
    <row r="1664" spans="2:2">
      <c r="B1664" s="172"/>
    </row>
    <row r="1665" spans="2:2">
      <c r="B1665" s="172"/>
    </row>
    <row r="1666" spans="2:2">
      <c r="B1666" s="172"/>
    </row>
    <row r="1667" spans="2:2">
      <c r="B1667" s="172"/>
    </row>
    <row r="1668" spans="2:2">
      <c r="B1668" s="172"/>
    </row>
    <row r="1669" spans="2:2">
      <c r="B1669" s="172"/>
    </row>
    <row r="1670" spans="2:2">
      <c r="B1670" s="172"/>
    </row>
    <row r="1671" spans="2:2">
      <c r="B1671" s="172"/>
    </row>
    <row r="1672" spans="2:2">
      <c r="B1672" s="172"/>
    </row>
    <row r="1673" spans="2:2">
      <c r="B1673" s="172"/>
    </row>
    <row r="1674" spans="2:2">
      <c r="B1674" s="172"/>
    </row>
    <row r="1675" spans="2:2">
      <c r="B1675" s="172"/>
    </row>
    <row r="1676" spans="2:2">
      <c r="B1676" s="172"/>
    </row>
    <row r="1677" spans="2:2">
      <c r="B1677" s="172"/>
    </row>
    <row r="1678" spans="2:2">
      <c r="B1678" s="172"/>
    </row>
    <row r="1679" spans="2:2">
      <c r="B1679" s="172"/>
    </row>
    <row r="1680" spans="2:2">
      <c r="B1680" s="172"/>
    </row>
    <row r="1681" spans="2:2">
      <c r="B1681" s="172"/>
    </row>
    <row r="1682" spans="2:2">
      <c r="B1682" s="172"/>
    </row>
    <row r="1683" spans="2:2">
      <c r="B1683" s="172"/>
    </row>
    <row r="1684" spans="2:2">
      <c r="B1684" s="172"/>
    </row>
    <row r="1685" spans="2:2">
      <c r="B1685" s="172"/>
    </row>
    <row r="1686" spans="2:2">
      <c r="B1686" s="172"/>
    </row>
    <row r="1687" spans="2:2">
      <c r="B1687" s="172"/>
    </row>
    <row r="1688" spans="2:2">
      <c r="B1688" s="172"/>
    </row>
    <row r="1689" spans="2:2">
      <c r="B1689" s="172"/>
    </row>
    <row r="1690" spans="2:2">
      <c r="B1690" s="172"/>
    </row>
    <row r="1691" spans="2:2">
      <c r="B1691" s="172"/>
    </row>
    <row r="1692" spans="2:2">
      <c r="B1692" s="172"/>
    </row>
    <row r="1693" spans="2:2">
      <c r="B1693" s="172"/>
    </row>
    <row r="1694" spans="2:2">
      <c r="B1694" s="172"/>
    </row>
    <row r="1695" spans="2:2">
      <c r="B1695" s="172"/>
    </row>
    <row r="1696" spans="2:2">
      <c r="B1696" s="172"/>
    </row>
    <row r="1697" spans="2:2">
      <c r="B1697" s="172"/>
    </row>
    <row r="1698" spans="2:2">
      <c r="B1698" s="172"/>
    </row>
    <row r="1699" spans="2:2">
      <c r="B1699" s="172"/>
    </row>
    <row r="1700" spans="2:2">
      <c r="B1700" s="172"/>
    </row>
    <row r="1701" spans="2:2">
      <c r="B1701" s="172"/>
    </row>
    <row r="1702" spans="2:2">
      <c r="B1702" s="172"/>
    </row>
    <row r="1703" spans="2:2">
      <c r="B1703" s="172"/>
    </row>
    <row r="1704" spans="2:2">
      <c r="B1704" s="172"/>
    </row>
    <row r="1705" spans="2:2">
      <c r="B1705" s="172"/>
    </row>
    <row r="1706" spans="2:2">
      <c r="B1706" s="172"/>
    </row>
    <row r="1707" spans="2:2">
      <c r="B1707" s="172"/>
    </row>
    <row r="1708" spans="2:2">
      <c r="B1708" s="172"/>
    </row>
    <row r="1709" spans="2:2">
      <c r="B1709" s="172"/>
    </row>
    <row r="1710" spans="2:2">
      <c r="B1710" s="172"/>
    </row>
    <row r="1711" spans="2:2">
      <c r="B1711" s="172"/>
    </row>
    <row r="1712" spans="2:2">
      <c r="B1712" s="172"/>
    </row>
    <row r="1713" spans="2:2">
      <c r="B1713" s="172"/>
    </row>
    <row r="1714" spans="2:2">
      <c r="B1714" s="172"/>
    </row>
    <row r="1715" spans="2:2">
      <c r="B1715" s="172"/>
    </row>
    <row r="1716" spans="2:2">
      <c r="B1716" s="172"/>
    </row>
    <row r="1717" spans="2:2">
      <c r="B1717" s="172"/>
    </row>
    <row r="1718" spans="2:2">
      <c r="B1718" s="172"/>
    </row>
    <row r="1719" spans="2:2">
      <c r="B1719" s="172"/>
    </row>
    <row r="1720" spans="2:2">
      <c r="B1720" s="172"/>
    </row>
    <row r="1721" spans="2:2">
      <c r="B1721" s="172"/>
    </row>
    <row r="1722" spans="2:2">
      <c r="B1722" s="172"/>
    </row>
    <row r="1723" spans="2:2">
      <c r="B1723" s="172"/>
    </row>
    <row r="1724" spans="2:2">
      <c r="B1724" s="172"/>
    </row>
    <row r="1725" spans="2:2">
      <c r="B1725" s="172"/>
    </row>
    <row r="1726" spans="2:2">
      <c r="B1726" s="172"/>
    </row>
    <row r="1727" spans="2:2">
      <c r="B1727" s="172"/>
    </row>
    <row r="1728" spans="2:2">
      <c r="B1728" s="172"/>
    </row>
    <row r="1729" spans="2:2">
      <c r="B1729" s="172"/>
    </row>
    <row r="1730" spans="2:2">
      <c r="B1730" s="172"/>
    </row>
    <row r="1731" spans="2:2">
      <c r="B1731" s="172"/>
    </row>
    <row r="1732" spans="2:2">
      <c r="B1732" s="172"/>
    </row>
    <row r="1733" spans="2:2">
      <c r="B1733" s="172"/>
    </row>
    <row r="1734" spans="2:2">
      <c r="B1734" s="172"/>
    </row>
    <row r="1735" spans="2:2">
      <c r="B1735" s="172"/>
    </row>
    <row r="1736" spans="2:2">
      <c r="B1736" s="172"/>
    </row>
    <row r="1737" spans="2:2">
      <c r="B1737" s="172"/>
    </row>
    <row r="1738" spans="2:2">
      <c r="B1738" s="172"/>
    </row>
    <row r="1739" spans="2:2">
      <c r="B1739" s="172"/>
    </row>
    <row r="1740" spans="2:2">
      <c r="B1740" s="172"/>
    </row>
    <row r="1741" spans="2:2">
      <c r="B1741" s="172"/>
    </row>
    <row r="1742" spans="2:2">
      <c r="B1742" s="172"/>
    </row>
    <row r="1743" spans="2:2">
      <c r="B1743" s="172"/>
    </row>
    <row r="1744" spans="2:2">
      <c r="B1744" s="172"/>
    </row>
    <row r="1745" spans="2:2">
      <c r="B1745" s="172"/>
    </row>
    <row r="1746" spans="2:2">
      <c r="B1746" s="172"/>
    </row>
    <row r="1747" spans="2:2">
      <c r="B1747" s="172"/>
    </row>
    <row r="1748" spans="2:2">
      <c r="B1748" s="172"/>
    </row>
    <row r="1749" spans="2:2">
      <c r="B1749" s="172"/>
    </row>
    <row r="1750" spans="2:2">
      <c r="B1750" s="172"/>
    </row>
    <row r="1751" spans="2:2">
      <c r="B1751" s="172"/>
    </row>
    <row r="1752" spans="2:2">
      <c r="B1752" s="172"/>
    </row>
    <row r="1753" spans="2:2">
      <c r="B1753" s="172"/>
    </row>
    <row r="1754" spans="2:2">
      <c r="B1754" s="172"/>
    </row>
    <row r="1755" spans="2:2">
      <c r="B1755" s="172"/>
    </row>
    <row r="1756" spans="2:2">
      <c r="B1756" s="172"/>
    </row>
    <row r="1757" spans="2:2">
      <c r="B1757" s="172"/>
    </row>
    <row r="1758" spans="2:2">
      <c r="B1758" s="172"/>
    </row>
    <row r="1759" spans="2:2">
      <c r="B1759" s="172"/>
    </row>
    <row r="1760" spans="2:2">
      <c r="B1760" s="172"/>
    </row>
    <row r="1761" spans="2:2">
      <c r="B1761" s="172"/>
    </row>
    <row r="1762" spans="2:2">
      <c r="B1762" s="172"/>
    </row>
    <row r="1763" spans="2:2">
      <c r="B1763" s="172"/>
    </row>
    <row r="1764" spans="2:2">
      <c r="B1764" s="172"/>
    </row>
    <row r="1765" spans="2:2">
      <c r="B1765" s="172"/>
    </row>
    <row r="1766" spans="2:2">
      <c r="B1766" s="172"/>
    </row>
    <row r="1767" spans="2:2">
      <c r="B1767" s="172"/>
    </row>
    <row r="1768" spans="2:2">
      <c r="B1768" s="172"/>
    </row>
    <row r="1769" spans="2:2">
      <c r="B1769" s="172"/>
    </row>
    <row r="1770" spans="2:2">
      <c r="B1770" s="172"/>
    </row>
    <row r="1771" spans="2:2">
      <c r="B1771" s="172"/>
    </row>
    <row r="1772" spans="2:2">
      <c r="B1772" s="172"/>
    </row>
    <row r="1773" spans="2:2">
      <c r="B1773" s="172"/>
    </row>
    <row r="1774" spans="2:2">
      <c r="B1774" s="172"/>
    </row>
    <row r="1775" spans="2:2">
      <c r="B1775" s="172"/>
    </row>
    <row r="1776" spans="2:2">
      <c r="B1776" s="172"/>
    </row>
    <row r="1777" spans="2:2">
      <c r="B1777" s="172"/>
    </row>
    <row r="1778" spans="2:2">
      <c r="B1778" s="172"/>
    </row>
    <row r="1779" spans="2:2">
      <c r="B1779" s="172"/>
    </row>
    <row r="1780" spans="2:2">
      <c r="B1780" s="172"/>
    </row>
    <row r="1781" spans="2:2">
      <c r="B1781" s="172"/>
    </row>
    <row r="1782" spans="2:2">
      <c r="B1782" s="172"/>
    </row>
    <row r="1783" spans="2:2">
      <c r="B1783" s="172"/>
    </row>
    <row r="1784" spans="2:2">
      <c r="B1784" s="172"/>
    </row>
    <row r="1785" spans="2:2">
      <c r="B1785" s="172"/>
    </row>
    <row r="1786" spans="2:2">
      <c r="B1786" s="172"/>
    </row>
    <row r="1787" spans="2:2">
      <c r="B1787" s="172"/>
    </row>
    <row r="1788" spans="2:2">
      <c r="B1788" s="172"/>
    </row>
    <row r="1789" spans="2:2">
      <c r="B1789" s="172"/>
    </row>
    <row r="1790" spans="2:2">
      <c r="B1790" s="172"/>
    </row>
    <row r="1791" spans="2:2">
      <c r="B1791" s="172"/>
    </row>
    <row r="1792" spans="2:2">
      <c r="B1792" s="172"/>
    </row>
    <row r="1793" spans="2:2">
      <c r="B1793" s="172"/>
    </row>
    <row r="1794" spans="2:2">
      <c r="B1794" s="172"/>
    </row>
    <row r="1795" spans="2:2">
      <c r="B1795" s="172"/>
    </row>
    <row r="1796" spans="2:2">
      <c r="B1796" s="172"/>
    </row>
    <row r="1797" spans="2:2">
      <c r="B1797" s="172"/>
    </row>
    <row r="1798" spans="2:2">
      <c r="B1798" s="172"/>
    </row>
    <row r="1799" spans="2:2">
      <c r="B1799" s="172"/>
    </row>
    <row r="1800" spans="2:2">
      <c r="B1800" s="172"/>
    </row>
    <row r="1801" spans="2:2">
      <c r="B1801" s="172"/>
    </row>
    <row r="1802" spans="2:2">
      <c r="B1802" s="172"/>
    </row>
    <row r="1803" spans="2:2">
      <c r="B1803" s="172"/>
    </row>
    <row r="1804" spans="2:2">
      <c r="B1804" s="172"/>
    </row>
    <row r="1805" spans="2:2">
      <c r="B1805" s="172"/>
    </row>
    <row r="1806" spans="2:2">
      <c r="B1806" s="172"/>
    </row>
    <row r="1807" spans="2:2">
      <c r="B1807" s="172"/>
    </row>
    <row r="1808" spans="2:2">
      <c r="B1808" s="172"/>
    </row>
    <row r="1809" spans="2:2">
      <c r="B1809" s="172"/>
    </row>
    <row r="1810" spans="2:2">
      <c r="B1810" s="172"/>
    </row>
    <row r="1811" spans="2:2">
      <c r="B1811" s="172"/>
    </row>
    <row r="1812" spans="2:2">
      <c r="B1812" s="172"/>
    </row>
    <row r="1813" spans="2:2">
      <c r="B1813" s="172"/>
    </row>
    <row r="1814" spans="2:2">
      <c r="B1814" s="172"/>
    </row>
    <row r="1815" spans="2:2">
      <c r="B1815" s="172"/>
    </row>
    <row r="1816" spans="2:2">
      <c r="B1816" s="172"/>
    </row>
    <row r="1817" spans="2:2">
      <c r="B1817" s="172"/>
    </row>
    <row r="1818" spans="2:2">
      <c r="B1818" s="172"/>
    </row>
    <row r="1819" spans="2:2">
      <c r="B1819" s="172"/>
    </row>
    <row r="1820" spans="2:2">
      <c r="B1820" s="172"/>
    </row>
    <row r="1821" spans="2:2">
      <c r="B1821" s="172"/>
    </row>
    <row r="1822" spans="2:2">
      <c r="B1822" s="172"/>
    </row>
    <row r="1823" spans="2:2">
      <c r="B1823" s="172"/>
    </row>
    <row r="1824" spans="2:2">
      <c r="B1824" s="172"/>
    </row>
    <row r="1825" spans="2:2">
      <c r="B1825" s="172"/>
    </row>
    <row r="1826" spans="2:2">
      <c r="B1826" s="172"/>
    </row>
    <row r="1827" spans="2:2">
      <c r="B1827" s="172"/>
    </row>
    <row r="1828" spans="2:2">
      <c r="B1828" s="172"/>
    </row>
    <row r="1829" spans="2:2">
      <c r="B1829" s="172"/>
    </row>
    <row r="1830" spans="2:2">
      <c r="B1830" s="172"/>
    </row>
    <row r="1831" spans="2:2">
      <c r="B1831" s="172"/>
    </row>
    <row r="1832" spans="2:2">
      <c r="B1832" s="172"/>
    </row>
    <row r="1833" spans="2:2">
      <c r="B1833" s="172"/>
    </row>
    <row r="1834" spans="2:2">
      <c r="B1834" s="172"/>
    </row>
    <row r="1835" spans="2:2">
      <c r="B1835" s="172"/>
    </row>
    <row r="1836" spans="2:2">
      <c r="B1836" s="172"/>
    </row>
    <row r="1837" spans="2:2">
      <c r="B1837" s="172"/>
    </row>
    <row r="1838" spans="2:2">
      <c r="B1838" s="172"/>
    </row>
    <row r="1839" spans="2:2">
      <c r="B1839" s="172"/>
    </row>
    <row r="1840" spans="2:2">
      <c r="B1840" s="172"/>
    </row>
    <row r="1841" spans="2:2">
      <c r="B1841" s="172"/>
    </row>
    <row r="1842" spans="2:2">
      <c r="B1842" s="172"/>
    </row>
    <row r="1843" spans="2:2">
      <c r="B1843" s="172"/>
    </row>
    <row r="1844" spans="2:2">
      <c r="B1844" s="172"/>
    </row>
    <row r="1845" spans="2:2">
      <c r="B1845" s="172"/>
    </row>
    <row r="1846" spans="2:2">
      <c r="B1846" s="172"/>
    </row>
    <row r="1847" spans="2:2">
      <c r="B1847" s="172"/>
    </row>
    <row r="1848" spans="2:2">
      <c r="B1848" s="172"/>
    </row>
    <row r="1849" spans="2:2">
      <c r="B1849" s="172"/>
    </row>
    <row r="1850" spans="2:2">
      <c r="B1850" s="172"/>
    </row>
    <row r="1851" spans="2:2">
      <c r="B1851" s="172"/>
    </row>
    <row r="1852" spans="2:2">
      <c r="B1852" s="172"/>
    </row>
    <row r="1853" spans="2:2">
      <c r="B1853" s="172"/>
    </row>
    <row r="1854" spans="2:2">
      <c r="B1854" s="172"/>
    </row>
    <row r="1855" spans="2:2">
      <c r="B1855" s="172"/>
    </row>
    <row r="1856" spans="2:2">
      <c r="B1856" s="172"/>
    </row>
    <row r="1857" spans="2:2">
      <c r="B1857" s="172"/>
    </row>
    <row r="1858" spans="2:2">
      <c r="B1858" s="172"/>
    </row>
    <row r="1859" spans="2:2">
      <c r="B1859" s="172"/>
    </row>
    <row r="1860" spans="2:2">
      <c r="B1860" s="172"/>
    </row>
    <row r="1861" spans="2:2">
      <c r="B1861" s="172"/>
    </row>
    <row r="1862" spans="2:2">
      <c r="B1862" s="172"/>
    </row>
    <row r="1863" spans="2:2">
      <c r="B1863" s="172"/>
    </row>
    <row r="1864" spans="2:2">
      <c r="B1864" s="172"/>
    </row>
    <row r="1865" spans="2:2">
      <c r="B1865" s="172"/>
    </row>
    <row r="1866" spans="2:2">
      <c r="B1866" s="172"/>
    </row>
    <row r="1867" spans="2:2">
      <c r="B1867" s="172"/>
    </row>
    <row r="1868" spans="2:2">
      <c r="B1868" s="172"/>
    </row>
    <row r="1869" spans="2:2">
      <c r="B1869" s="172"/>
    </row>
    <row r="1870" spans="2:2">
      <c r="B1870" s="172"/>
    </row>
    <row r="1871" spans="2:2">
      <c r="B1871" s="172"/>
    </row>
    <row r="1872" spans="2:2">
      <c r="B1872" s="172"/>
    </row>
    <row r="1873" spans="2:2">
      <c r="B1873" s="172"/>
    </row>
    <row r="1874" spans="2:2">
      <c r="B1874" s="172"/>
    </row>
    <row r="1875" spans="2:2">
      <c r="B1875" s="172"/>
    </row>
    <row r="1876" spans="2:2">
      <c r="B1876" s="172"/>
    </row>
    <row r="1877" spans="2:2">
      <c r="B1877" s="172"/>
    </row>
    <row r="1878" spans="2:2">
      <c r="B1878" s="172"/>
    </row>
    <row r="1879" spans="2:2">
      <c r="B1879" s="172"/>
    </row>
    <row r="1880" spans="2:2">
      <c r="B1880" s="172"/>
    </row>
    <row r="1881" spans="2:2">
      <c r="B1881" s="172"/>
    </row>
    <row r="1882" spans="2:2">
      <c r="B1882" s="172"/>
    </row>
    <row r="1883" spans="2:2">
      <c r="B1883" s="172"/>
    </row>
    <row r="1884" spans="2:2">
      <c r="B1884" s="172"/>
    </row>
    <row r="1885" spans="2:2">
      <c r="B1885" s="172"/>
    </row>
    <row r="1886" spans="2:2">
      <c r="B1886" s="172"/>
    </row>
    <row r="1887" spans="2:2">
      <c r="B1887" s="172"/>
    </row>
    <row r="1888" spans="2:2">
      <c r="B1888" s="172"/>
    </row>
    <row r="1889" spans="2:2">
      <c r="B1889" s="172"/>
    </row>
    <row r="1890" spans="2:2">
      <c r="B1890" s="172"/>
    </row>
    <row r="1891" spans="2:2">
      <c r="B1891" s="172"/>
    </row>
    <row r="1892" spans="2:2">
      <c r="B1892" s="172"/>
    </row>
    <row r="1893" spans="2:2">
      <c r="B1893" s="172"/>
    </row>
    <row r="1894" spans="2:2">
      <c r="B1894" s="172"/>
    </row>
    <row r="1895" spans="2:2">
      <c r="B1895" s="172"/>
    </row>
    <row r="1896" spans="2:2">
      <c r="B1896" s="172"/>
    </row>
    <row r="1897" spans="2:2">
      <c r="B1897" s="172"/>
    </row>
    <row r="1898" spans="2:2">
      <c r="B1898" s="172"/>
    </row>
    <row r="1899" spans="2:2">
      <c r="B1899" s="172"/>
    </row>
    <row r="1900" spans="2:2">
      <c r="B1900" s="172"/>
    </row>
    <row r="1901" spans="2:2">
      <c r="B1901" s="172"/>
    </row>
    <row r="1902" spans="2:2">
      <c r="B1902" s="172"/>
    </row>
    <row r="1903" spans="2:2">
      <c r="B1903" s="172"/>
    </row>
    <row r="1904" spans="2:2">
      <c r="B1904" s="172"/>
    </row>
    <row r="1905" spans="2:2">
      <c r="B1905" s="172"/>
    </row>
    <row r="1906" spans="2:2">
      <c r="B1906" s="172"/>
    </row>
    <row r="1907" spans="2:2">
      <c r="B1907" s="172"/>
    </row>
    <row r="1908" spans="2:2">
      <c r="B1908" s="172"/>
    </row>
    <row r="1909" spans="2:2">
      <c r="B1909" s="172"/>
    </row>
    <row r="1910" spans="2:2">
      <c r="B1910" s="172"/>
    </row>
    <row r="1911" spans="2:2">
      <c r="B1911" s="172"/>
    </row>
    <row r="1912" spans="2:2">
      <c r="B1912" s="172"/>
    </row>
    <row r="1913" spans="2:2">
      <c r="B1913" s="172"/>
    </row>
    <row r="1914" spans="2:2">
      <c r="B1914" s="172"/>
    </row>
    <row r="1915" spans="2:2">
      <c r="B1915" s="172"/>
    </row>
    <row r="1916" spans="2:2">
      <c r="B1916" s="172"/>
    </row>
    <row r="1917" spans="2:2">
      <c r="B1917" s="172"/>
    </row>
    <row r="1918" spans="2:2">
      <c r="B1918" s="172"/>
    </row>
    <row r="1919" spans="2:2">
      <c r="B1919" s="172"/>
    </row>
    <row r="1920" spans="2:2">
      <c r="B1920" s="172"/>
    </row>
    <row r="1921" spans="2:2">
      <c r="B1921" s="172"/>
    </row>
    <row r="1922" spans="2:2">
      <c r="B1922" s="172"/>
    </row>
    <row r="1923" spans="2:2">
      <c r="B1923" s="172"/>
    </row>
    <row r="1924" spans="2:2">
      <c r="B1924" s="172"/>
    </row>
    <row r="1925" spans="2:2">
      <c r="B1925" s="172"/>
    </row>
    <row r="1926" spans="2:2">
      <c r="B1926" s="172"/>
    </row>
    <row r="1927" spans="2:2">
      <c r="B1927" s="172"/>
    </row>
    <row r="1928" spans="2:2">
      <c r="B1928" s="172"/>
    </row>
    <row r="1929" spans="2:2">
      <c r="B1929" s="172"/>
    </row>
    <row r="1930" spans="2:2">
      <c r="B1930" s="172"/>
    </row>
    <row r="1931" spans="2:2">
      <c r="B1931" s="172"/>
    </row>
    <row r="1932" spans="2:2">
      <c r="B1932" s="172"/>
    </row>
    <row r="1933" spans="2:2">
      <c r="B1933" s="172"/>
    </row>
    <row r="1934" spans="2:2">
      <c r="B1934" s="172"/>
    </row>
    <row r="1935" spans="2:2">
      <c r="B1935" s="172"/>
    </row>
    <row r="1936" spans="2:2">
      <c r="B1936" s="172"/>
    </row>
    <row r="1937" spans="2:2">
      <c r="B1937" s="172"/>
    </row>
    <row r="1938" spans="2:2">
      <c r="B1938" s="172"/>
    </row>
    <row r="1939" spans="2:2">
      <c r="B1939" s="172"/>
    </row>
    <row r="1940" spans="2:2">
      <c r="B1940" s="172"/>
    </row>
    <row r="1941" spans="2:2">
      <c r="B1941" s="172"/>
    </row>
    <row r="1942" spans="2:2">
      <c r="B1942" s="172"/>
    </row>
    <row r="1943" spans="2:2">
      <c r="B1943" s="172"/>
    </row>
    <row r="1944" spans="2:2">
      <c r="B1944" s="172"/>
    </row>
    <row r="1945" spans="2:2">
      <c r="B1945" s="172"/>
    </row>
    <row r="1946" spans="2:2">
      <c r="B1946" s="172"/>
    </row>
    <row r="1947" spans="2:2">
      <c r="B1947" s="172"/>
    </row>
    <row r="1948" spans="2:2">
      <c r="B1948" s="172"/>
    </row>
    <row r="1949" spans="2:2">
      <c r="B1949" s="172"/>
    </row>
    <row r="1950" spans="2:2">
      <c r="B1950" s="172"/>
    </row>
    <row r="1951" spans="2:2">
      <c r="B1951" s="172"/>
    </row>
    <row r="1952" spans="2:2">
      <c r="B1952" s="172"/>
    </row>
    <row r="1953" spans="2:2">
      <c r="B1953" s="172"/>
    </row>
    <row r="1954" spans="2:2">
      <c r="B1954" s="172"/>
    </row>
    <row r="1955" spans="2:2">
      <c r="B1955" s="172"/>
    </row>
    <row r="1956" spans="2:2">
      <c r="B1956" s="172"/>
    </row>
    <row r="1957" spans="2:2">
      <c r="B1957" s="172"/>
    </row>
    <row r="1958" spans="2:2">
      <c r="B1958" s="172"/>
    </row>
    <row r="1959" spans="2:2">
      <c r="B1959" s="172"/>
    </row>
    <row r="1960" spans="2:2">
      <c r="B1960" s="172"/>
    </row>
    <row r="1961" spans="2:2">
      <c r="B1961" s="172"/>
    </row>
    <row r="1962" spans="2:2">
      <c r="B1962" s="172"/>
    </row>
    <row r="1963" spans="2:2">
      <c r="B1963" s="172"/>
    </row>
    <row r="1964" spans="2:2">
      <c r="B1964" s="172"/>
    </row>
    <row r="1965" spans="2:2">
      <c r="B1965" s="172"/>
    </row>
    <row r="1966" spans="2:2">
      <c r="B1966" s="172"/>
    </row>
    <row r="1967" spans="2:2">
      <c r="B1967" s="172"/>
    </row>
    <row r="1968" spans="2:2">
      <c r="B1968" s="172"/>
    </row>
    <row r="1969" spans="2:2">
      <c r="B1969" s="172"/>
    </row>
    <row r="1970" spans="2:2">
      <c r="B1970" s="172"/>
    </row>
    <row r="1971" spans="2:2">
      <c r="B1971" s="172"/>
    </row>
    <row r="1972" spans="2:2">
      <c r="B1972" s="172"/>
    </row>
    <row r="1973" spans="2:2">
      <c r="B1973" s="172"/>
    </row>
    <row r="1974" spans="2:2">
      <c r="B1974" s="172"/>
    </row>
    <row r="1975" spans="2:2">
      <c r="B1975" s="172"/>
    </row>
    <row r="1976" spans="2:2">
      <c r="B1976" s="172"/>
    </row>
    <row r="1977" spans="2:2">
      <c r="B1977" s="172"/>
    </row>
    <row r="1978" spans="2:2">
      <c r="B1978" s="172"/>
    </row>
    <row r="1979" spans="2:2">
      <c r="B1979" s="172"/>
    </row>
    <row r="1980" spans="2:2">
      <c r="B1980" s="172"/>
    </row>
    <row r="1981" spans="2:2">
      <c r="B1981" s="172"/>
    </row>
    <row r="1982" spans="2:2">
      <c r="B1982" s="172"/>
    </row>
    <row r="1983" spans="2:2">
      <c r="B1983" s="172"/>
    </row>
    <row r="1984" spans="2:2">
      <c r="B1984" s="172"/>
    </row>
    <row r="1985" spans="2:2">
      <c r="B1985" s="172"/>
    </row>
    <row r="1986" spans="2:2">
      <c r="B1986" s="172"/>
    </row>
    <row r="1987" spans="2:2">
      <c r="B1987" s="172"/>
    </row>
    <row r="1988" spans="2:2">
      <c r="B1988" s="172"/>
    </row>
    <row r="1989" spans="2:2">
      <c r="B1989" s="172"/>
    </row>
    <row r="1990" spans="2:2">
      <c r="B1990" s="172"/>
    </row>
    <row r="1991" spans="2:2">
      <c r="B1991" s="172"/>
    </row>
    <row r="1992" spans="2:2">
      <c r="B1992" s="172"/>
    </row>
    <row r="1993" spans="2:2">
      <c r="B1993" s="172"/>
    </row>
    <row r="1994" spans="2:2">
      <c r="B1994" s="172"/>
    </row>
    <row r="1995" spans="2:2">
      <c r="B1995" s="172"/>
    </row>
    <row r="1996" spans="2:2">
      <c r="B1996" s="172"/>
    </row>
    <row r="1997" spans="2:2">
      <c r="B1997" s="172"/>
    </row>
    <row r="1998" spans="2:2">
      <c r="B1998" s="172"/>
    </row>
    <row r="1999" spans="2:2">
      <c r="B1999" s="172"/>
    </row>
    <row r="2000" spans="2:2">
      <c r="B2000" s="172"/>
    </row>
    <row r="2001" spans="2:2">
      <c r="B2001" s="172"/>
    </row>
    <row r="2002" spans="2:2">
      <c r="B2002" s="172"/>
    </row>
    <row r="2003" spans="2:2">
      <c r="B2003" s="172"/>
    </row>
    <row r="2004" spans="2:2">
      <c r="B2004" s="172"/>
    </row>
    <row r="2005" spans="2:2">
      <c r="B2005" s="172"/>
    </row>
    <row r="2006" spans="2:2">
      <c r="B2006" s="172"/>
    </row>
    <row r="2007" spans="2:2">
      <c r="B2007" s="172"/>
    </row>
    <row r="2008" spans="2:2">
      <c r="B2008" s="172"/>
    </row>
    <row r="2009" spans="2:2">
      <c r="B2009" s="172"/>
    </row>
    <row r="2010" spans="2:2">
      <c r="B2010" s="172"/>
    </row>
    <row r="2011" spans="2:2">
      <c r="B2011" s="172"/>
    </row>
    <row r="2012" spans="2:2">
      <c r="B2012" s="172"/>
    </row>
    <row r="2013" spans="2:2">
      <c r="B2013" s="172"/>
    </row>
    <row r="2014" spans="2:2">
      <c r="B2014" s="172"/>
    </row>
    <row r="2015" spans="2:2">
      <c r="B2015" s="172"/>
    </row>
    <row r="2016" spans="2:2">
      <c r="B2016" s="172"/>
    </row>
    <row r="2017" spans="2:2">
      <c r="B2017" s="172"/>
    </row>
    <row r="2018" spans="2:2">
      <c r="B2018" s="172"/>
    </row>
    <row r="2019" spans="2:2">
      <c r="B2019" s="172"/>
    </row>
    <row r="2020" spans="2:2">
      <c r="B2020" s="172"/>
    </row>
    <row r="2021" spans="2:2">
      <c r="B2021" s="172"/>
    </row>
    <row r="2022" spans="2:2">
      <c r="B2022" s="172"/>
    </row>
    <row r="2023" spans="2:2">
      <c r="B2023" s="172"/>
    </row>
    <row r="2024" spans="2:2">
      <c r="B2024" s="172"/>
    </row>
    <row r="2025" spans="2:2">
      <c r="B2025" s="172"/>
    </row>
    <row r="2026" spans="2:2">
      <c r="B2026" s="172"/>
    </row>
    <row r="2027" spans="2:2">
      <c r="B2027" s="172"/>
    </row>
    <row r="2028" spans="2:2">
      <c r="B2028" s="172"/>
    </row>
    <row r="2029" spans="2:2">
      <c r="B2029" s="172"/>
    </row>
    <row r="2030" spans="2:2">
      <c r="B2030" s="172"/>
    </row>
    <row r="2031" spans="2:2">
      <c r="B2031" s="172"/>
    </row>
    <row r="2032" spans="2:2">
      <c r="B2032" s="172"/>
    </row>
    <row r="2033" spans="2:2">
      <c r="B2033" s="172"/>
    </row>
    <row r="2034" spans="2:2">
      <c r="B2034" s="172"/>
    </row>
    <row r="2035" spans="2:2">
      <c r="B2035" s="172"/>
    </row>
    <row r="2036" spans="2:2">
      <c r="B2036" s="172"/>
    </row>
    <row r="2037" spans="2:2">
      <c r="B2037" s="172"/>
    </row>
    <row r="2038" spans="2:2">
      <c r="B2038" s="172"/>
    </row>
    <row r="2039" spans="2:2">
      <c r="B2039" s="172"/>
    </row>
    <row r="2040" spans="2:2">
      <c r="B2040" s="172"/>
    </row>
    <row r="2041" spans="2:2">
      <c r="B2041" s="172"/>
    </row>
    <row r="2042" spans="2:2">
      <c r="B2042" s="172"/>
    </row>
    <row r="2043" spans="2:2">
      <c r="B2043" s="172"/>
    </row>
    <row r="2044" spans="2:2">
      <c r="B2044" s="172"/>
    </row>
    <row r="2045" spans="2:2">
      <c r="B2045" s="172"/>
    </row>
    <row r="2046" spans="2:2">
      <c r="B2046" s="172"/>
    </row>
    <row r="2047" spans="2:2">
      <c r="B2047" s="172"/>
    </row>
    <row r="2048" spans="2:2">
      <c r="B2048" s="172"/>
    </row>
    <row r="2049" spans="2:2">
      <c r="B2049" s="172"/>
    </row>
    <row r="2050" spans="2:2">
      <c r="B2050" s="172"/>
    </row>
    <row r="2051" spans="2:2">
      <c r="B2051" s="172"/>
    </row>
    <row r="2052" spans="2:2">
      <c r="B2052" s="172"/>
    </row>
    <row r="2053" spans="2:2">
      <c r="B2053" s="172"/>
    </row>
    <row r="2054" spans="2:2">
      <c r="B2054" s="172"/>
    </row>
    <row r="2055" spans="2:2">
      <c r="B2055" s="172"/>
    </row>
    <row r="2056" spans="2:2">
      <c r="B2056" s="172"/>
    </row>
    <row r="2057" spans="2:2">
      <c r="B2057" s="172"/>
    </row>
    <row r="2058" spans="2:2">
      <c r="B2058" s="172"/>
    </row>
    <row r="2059" spans="2:2">
      <c r="B2059" s="172"/>
    </row>
    <row r="2060" spans="2:2">
      <c r="B2060" s="172"/>
    </row>
    <row r="2061" spans="2:2">
      <c r="B2061" s="172"/>
    </row>
    <row r="2062" spans="2:2">
      <c r="B2062" s="172"/>
    </row>
    <row r="2063" spans="2:2">
      <c r="B2063" s="172"/>
    </row>
    <row r="2064" spans="2:2">
      <c r="B2064" s="172"/>
    </row>
    <row r="2065" spans="2:2">
      <c r="B2065" s="172"/>
    </row>
    <row r="2066" spans="2:2">
      <c r="B2066" s="172"/>
    </row>
    <row r="2067" spans="2:2">
      <c r="B2067" s="172"/>
    </row>
    <row r="2068" spans="2:2">
      <c r="B2068" s="172"/>
    </row>
    <row r="2069" spans="2:2">
      <c r="B2069" s="172"/>
    </row>
    <row r="2070" spans="2:2">
      <c r="B2070" s="172"/>
    </row>
    <row r="2071" spans="2:2">
      <c r="B2071" s="172"/>
    </row>
    <row r="2072" spans="2:2">
      <c r="B2072" s="172"/>
    </row>
    <row r="2073" spans="2:2">
      <c r="B2073" s="172"/>
    </row>
    <row r="2074" spans="2:2">
      <c r="B2074" s="172"/>
    </row>
    <row r="2075" spans="2:2">
      <c r="B2075" s="172"/>
    </row>
    <row r="2076" spans="2:2">
      <c r="B2076" s="172"/>
    </row>
    <row r="2077" spans="2:2">
      <c r="B2077" s="172"/>
    </row>
    <row r="2078" spans="2:2">
      <c r="B2078" s="172"/>
    </row>
    <row r="2079" spans="2:2">
      <c r="B2079" s="172"/>
    </row>
    <row r="2080" spans="2:2">
      <c r="B2080" s="172"/>
    </row>
    <row r="2081" spans="2:2">
      <c r="B2081" s="172"/>
    </row>
    <row r="2082" spans="2:2">
      <c r="B2082" s="172"/>
    </row>
    <row r="2083" spans="2:2">
      <c r="B2083" s="172"/>
    </row>
    <row r="2084" spans="2:2">
      <c r="B2084" s="172"/>
    </row>
    <row r="2085" spans="2:2">
      <c r="B2085" s="172"/>
    </row>
    <row r="2086" spans="2:2">
      <c r="B2086" s="172"/>
    </row>
    <row r="2087" spans="2:2">
      <c r="B2087" s="172"/>
    </row>
    <row r="2088" spans="2:2">
      <c r="B2088" s="172"/>
    </row>
    <row r="2089" spans="2:2">
      <c r="B2089" s="172"/>
    </row>
    <row r="2090" spans="2:2">
      <c r="B2090" s="172"/>
    </row>
    <row r="2091" spans="2:2">
      <c r="B2091" s="172"/>
    </row>
    <row r="2092" spans="2:2">
      <c r="B2092" s="172"/>
    </row>
    <row r="2093" spans="2:2">
      <c r="B2093" s="172"/>
    </row>
    <row r="2094" spans="2:2">
      <c r="B2094" s="172"/>
    </row>
    <row r="2095" spans="2:2">
      <c r="B2095" s="172"/>
    </row>
    <row r="2096" spans="2:2">
      <c r="B2096" s="172"/>
    </row>
    <row r="2097" spans="2:2">
      <c r="B2097" s="172"/>
    </row>
    <row r="2098" spans="2:2">
      <c r="B2098" s="172"/>
    </row>
    <row r="2099" spans="2:2">
      <c r="B2099" s="172"/>
    </row>
    <row r="2100" spans="2:2">
      <c r="B2100" s="172"/>
    </row>
    <row r="2101" spans="2:2">
      <c r="B2101" s="172"/>
    </row>
    <row r="2102" spans="2:2">
      <c r="B2102" s="172"/>
    </row>
    <row r="2103" spans="2:2">
      <c r="B2103" s="172"/>
    </row>
    <row r="2104" spans="2:2">
      <c r="B2104" s="172"/>
    </row>
    <row r="2105" spans="2:2">
      <c r="B2105" s="172"/>
    </row>
    <row r="2106" spans="2:2">
      <c r="B2106" s="172"/>
    </row>
    <row r="2107" spans="2:2">
      <c r="B2107" s="172"/>
    </row>
    <row r="2108" spans="2:2">
      <c r="B2108" s="172"/>
    </row>
    <row r="2109" spans="2:2">
      <c r="B2109" s="172"/>
    </row>
    <row r="2110" spans="2:2">
      <c r="B2110" s="172"/>
    </row>
    <row r="2111" spans="2:2">
      <c r="B2111" s="172"/>
    </row>
    <row r="2112" spans="2:2">
      <c r="B2112" s="172"/>
    </row>
    <row r="2113" spans="2:2">
      <c r="B2113" s="172"/>
    </row>
    <row r="2114" spans="2:2">
      <c r="B2114" s="172"/>
    </row>
    <row r="2115" spans="2:2">
      <c r="B2115" s="172"/>
    </row>
    <row r="2116" spans="2:2">
      <c r="B2116" s="172"/>
    </row>
    <row r="2117" spans="2:2">
      <c r="B2117" s="172"/>
    </row>
    <row r="2118" spans="2:2">
      <c r="B2118" s="172"/>
    </row>
    <row r="2119" spans="2:2">
      <c r="B2119" s="172"/>
    </row>
    <row r="2120" spans="2:2">
      <c r="B2120" s="172"/>
    </row>
    <row r="2121" spans="2:2">
      <c r="B2121" s="172"/>
    </row>
    <row r="2122" spans="2:2">
      <c r="B2122" s="172"/>
    </row>
    <row r="2123" spans="2:2">
      <c r="B2123" s="172"/>
    </row>
    <row r="2124" spans="2:2">
      <c r="B2124" s="172"/>
    </row>
    <row r="2125" spans="2:2">
      <c r="B2125" s="172"/>
    </row>
    <row r="2126" spans="2:2">
      <c r="B2126" s="172"/>
    </row>
    <row r="2127" spans="2:2">
      <c r="B2127" s="172"/>
    </row>
    <row r="2128" spans="2:2">
      <c r="B2128" s="172"/>
    </row>
    <row r="2129" spans="2:2">
      <c r="B2129" s="172"/>
    </row>
    <row r="2130" spans="2:2">
      <c r="B2130" s="172"/>
    </row>
    <row r="2131" spans="2:2">
      <c r="B2131" s="172"/>
    </row>
    <row r="2132" spans="2:2">
      <c r="B2132" s="172"/>
    </row>
    <row r="2133" spans="2:2">
      <c r="B2133" s="172"/>
    </row>
    <row r="2134" spans="2:2">
      <c r="B2134" s="172"/>
    </row>
    <row r="2135" spans="2:2">
      <c r="B2135" s="172"/>
    </row>
    <row r="2136" spans="2:2">
      <c r="B2136" s="172"/>
    </row>
    <row r="2137" spans="2:2">
      <c r="B2137" s="172"/>
    </row>
    <row r="2138" spans="2:2">
      <c r="B2138" s="172"/>
    </row>
    <row r="2139" spans="2:2">
      <c r="B2139" s="172"/>
    </row>
    <row r="2140" spans="2:2">
      <c r="B2140" s="172"/>
    </row>
    <row r="2141" spans="2:2">
      <c r="B2141" s="172"/>
    </row>
    <row r="2142" spans="2:2">
      <c r="B2142" s="172"/>
    </row>
    <row r="2143" spans="2:2">
      <c r="B2143" s="172"/>
    </row>
    <row r="2144" spans="2:2">
      <c r="B2144" s="172"/>
    </row>
    <row r="2145" spans="2:2">
      <c r="B2145" s="172"/>
    </row>
    <row r="2146" spans="2:2">
      <c r="B2146" s="172"/>
    </row>
    <row r="2147" spans="2:2">
      <c r="B2147" s="172"/>
    </row>
    <row r="2148" spans="2:2">
      <c r="B2148" s="172"/>
    </row>
    <row r="2149" spans="2:2">
      <c r="B2149" s="172"/>
    </row>
    <row r="2150" spans="2:2">
      <c r="B2150" s="172"/>
    </row>
    <row r="2151" spans="2:2">
      <c r="B2151" s="172"/>
    </row>
    <row r="2152" spans="2:2">
      <c r="B2152" s="172"/>
    </row>
    <row r="2153" spans="2:2">
      <c r="B2153" s="172"/>
    </row>
    <row r="2154" spans="2:2">
      <c r="B2154" s="172"/>
    </row>
    <row r="2155" spans="2:2">
      <c r="B2155" s="172"/>
    </row>
    <row r="2156" spans="2:2">
      <c r="B2156" s="172"/>
    </row>
    <row r="2157" spans="2:2">
      <c r="B2157" s="172"/>
    </row>
    <row r="2158" spans="2:2">
      <c r="B2158" s="172"/>
    </row>
    <row r="2159" spans="2:2">
      <c r="B2159" s="172"/>
    </row>
    <row r="2160" spans="2:2">
      <c r="B2160" s="172"/>
    </row>
    <row r="2161" spans="2:2">
      <c r="B2161" s="172"/>
    </row>
    <row r="2162" spans="2:2">
      <c r="B2162" s="172"/>
    </row>
    <row r="2163" spans="2:2">
      <c r="B2163" s="172"/>
    </row>
    <row r="2164" spans="2:2">
      <c r="B2164" s="172"/>
    </row>
    <row r="2165" spans="2:2">
      <c r="B2165" s="172"/>
    </row>
    <row r="2166" spans="2:2">
      <c r="B2166" s="172"/>
    </row>
    <row r="2167" spans="2:2">
      <c r="B2167" s="172"/>
    </row>
    <row r="2168" spans="2:2">
      <c r="B2168" s="172"/>
    </row>
    <row r="2169" spans="2:2">
      <c r="B2169" s="172"/>
    </row>
    <row r="2170" spans="2:2">
      <c r="B2170" s="172"/>
    </row>
    <row r="2171" spans="2:2">
      <c r="B2171" s="172"/>
    </row>
    <row r="2172" spans="2:2">
      <c r="B2172" s="172"/>
    </row>
    <row r="2173" spans="2:2">
      <c r="B2173" s="172"/>
    </row>
    <row r="2174" spans="2:2">
      <c r="B2174" s="172"/>
    </row>
    <row r="2175" spans="2:2">
      <c r="B2175" s="172"/>
    </row>
    <row r="2176" spans="2:2">
      <c r="B2176" s="172"/>
    </row>
    <row r="2177" spans="2:2">
      <c r="B2177" s="172"/>
    </row>
    <row r="2178" spans="2:2">
      <c r="B2178" s="172"/>
    </row>
    <row r="2179" spans="2:2">
      <c r="B2179" s="172"/>
    </row>
    <row r="2180" spans="2:2">
      <c r="B2180" s="172"/>
    </row>
    <row r="2181" spans="2:2">
      <c r="B2181" s="172"/>
    </row>
    <row r="2182" spans="2:2">
      <c r="B2182" s="172"/>
    </row>
    <row r="2183" spans="2:2">
      <c r="B2183" s="172"/>
    </row>
    <row r="2184" spans="2:2">
      <c r="B2184" s="172"/>
    </row>
    <row r="2185" spans="2:2">
      <c r="B2185" s="172"/>
    </row>
    <row r="2186" spans="2:2">
      <c r="B2186" s="172"/>
    </row>
    <row r="2187" spans="2:2">
      <c r="B2187" s="172"/>
    </row>
    <row r="2188" spans="2:2">
      <c r="B2188" s="172"/>
    </row>
    <row r="2189" spans="2:2">
      <c r="B2189" s="172"/>
    </row>
    <row r="2190" spans="2:2">
      <c r="B2190" s="172"/>
    </row>
    <row r="2191" spans="2:2">
      <c r="B2191" s="172"/>
    </row>
    <row r="2192" spans="2:2">
      <c r="B2192" s="172"/>
    </row>
    <row r="2193" spans="2:2">
      <c r="B2193" s="172"/>
    </row>
    <row r="2194" spans="2:2">
      <c r="B2194" s="172"/>
    </row>
    <row r="2195" spans="2:2">
      <c r="B2195" s="172"/>
    </row>
    <row r="2196" spans="2:2">
      <c r="B2196" s="172"/>
    </row>
    <row r="2197" spans="2:2">
      <c r="B2197" s="172"/>
    </row>
    <row r="2198" spans="2:2">
      <c r="B2198" s="172"/>
    </row>
    <row r="2199" spans="2:2">
      <c r="B2199" s="172"/>
    </row>
    <row r="2200" spans="2:2">
      <c r="B2200" s="172"/>
    </row>
    <row r="2201" spans="2:2">
      <c r="B2201" s="172"/>
    </row>
    <row r="2202" spans="2:2">
      <c r="B2202" s="172"/>
    </row>
    <row r="2203" spans="2:2">
      <c r="B2203" s="172"/>
    </row>
    <row r="2204" spans="2:2">
      <c r="B2204" s="172"/>
    </row>
    <row r="2205" spans="2:2">
      <c r="B2205" s="172"/>
    </row>
    <row r="2206" spans="2:2">
      <c r="B2206" s="172"/>
    </row>
    <row r="2207" spans="2:2">
      <c r="B2207" s="172"/>
    </row>
    <row r="2208" spans="2:2">
      <c r="B2208" s="172"/>
    </row>
    <row r="2209" spans="2:2">
      <c r="B2209" s="172"/>
    </row>
    <row r="2210" spans="2:2">
      <c r="B2210" s="172"/>
    </row>
    <row r="2211" spans="2:2">
      <c r="B2211" s="172"/>
    </row>
    <row r="2212" spans="2:2">
      <c r="B2212" s="172"/>
    </row>
    <row r="2213" spans="2:2">
      <c r="B2213" s="172"/>
    </row>
    <row r="2214" spans="2:2">
      <c r="B2214" s="172"/>
    </row>
    <row r="2215" spans="2:2">
      <c r="B2215" s="172"/>
    </row>
    <row r="2216" spans="2:2">
      <c r="B2216" s="172"/>
    </row>
    <row r="2217" spans="2:2">
      <c r="B2217" s="172"/>
    </row>
    <row r="2218" spans="2:2">
      <c r="B2218" s="172"/>
    </row>
    <row r="2219" spans="2:2">
      <c r="B2219" s="172"/>
    </row>
    <row r="2220" spans="2:2">
      <c r="B2220" s="172"/>
    </row>
    <row r="2221" spans="2:2">
      <c r="B2221" s="172"/>
    </row>
    <row r="2222" spans="2:2">
      <c r="B2222" s="172"/>
    </row>
    <row r="2223" spans="2:2">
      <c r="B2223" s="172"/>
    </row>
    <row r="2224" spans="2:2">
      <c r="B2224" s="172"/>
    </row>
    <row r="2225" spans="2:2">
      <c r="B2225" s="172"/>
    </row>
    <row r="2226" spans="2:2">
      <c r="B2226" s="172"/>
    </row>
    <row r="2227" spans="2:2">
      <c r="B2227" s="172"/>
    </row>
    <row r="2228" spans="2:2">
      <c r="B2228" s="172"/>
    </row>
    <row r="2229" spans="2:2">
      <c r="B2229" s="172"/>
    </row>
    <row r="2230" spans="2:2">
      <c r="B2230" s="172"/>
    </row>
    <row r="2231" spans="2:2">
      <c r="B2231" s="172"/>
    </row>
    <row r="2232" spans="2:2">
      <c r="B2232" s="172"/>
    </row>
    <row r="2233" spans="2:2">
      <c r="B2233" s="172"/>
    </row>
    <row r="2234" spans="2:2">
      <c r="B2234" s="172"/>
    </row>
    <row r="2235" spans="2:2">
      <c r="B2235" s="172"/>
    </row>
    <row r="2236" spans="2:2">
      <c r="B2236" s="172"/>
    </row>
    <row r="2237" spans="2:2">
      <c r="B2237" s="172"/>
    </row>
    <row r="2238" spans="2:2">
      <c r="B2238" s="172"/>
    </row>
    <row r="2239" spans="2:2">
      <c r="B2239" s="172"/>
    </row>
    <row r="2240" spans="2:2">
      <c r="B2240" s="172"/>
    </row>
    <row r="2241" spans="2:2">
      <c r="B2241" s="172"/>
    </row>
    <row r="2242" spans="2:2">
      <c r="B2242" s="172"/>
    </row>
    <row r="2243" spans="2:2">
      <c r="B2243" s="172"/>
    </row>
    <row r="2244" spans="2:2">
      <c r="B2244" s="172"/>
    </row>
    <row r="2245" spans="2:2">
      <c r="B2245" s="172"/>
    </row>
    <row r="2246" spans="2:2">
      <c r="B2246" s="172"/>
    </row>
    <row r="2247" spans="2:2">
      <c r="B2247" s="172"/>
    </row>
    <row r="2248" spans="2:2">
      <c r="B2248" s="172"/>
    </row>
    <row r="2249" spans="2:2">
      <c r="B2249" s="172"/>
    </row>
    <row r="2250" spans="2:2">
      <c r="B2250" s="172"/>
    </row>
    <row r="2251" spans="2:2">
      <c r="B2251" s="172"/>
    </row>
    <row r="2252" spans="2:2">
      <c r="B2252" s="172"/>
    </row>
    <row r="2253" spans="2:2">
      <c r="B2253" s="172"/>
    </row>
    <row r="2254" spans="2:2">
      <c r="B2254" s="172"/>
    </row>
    <row r="2255" spans="2:2">
      <c r="B2255" s="172"/>
    </row>
    <row r="2256" spans="2:2">
      <c r="B2256" s="172"/>
    </row>
    <row r="2257" spans="2:2">
      <c r="B2257" s="172"/>
    </row>
    <row r="2258" spans="2:2">
      <c r="B2258" s="172"/>
    </row>
    <row r="2259" spans="2:2">
      <c r="B2259" s="172"/>
    </row>
    <row r="2260" spans="2:2">
      <c r="B2260" s="172"/>
    </row>
    <row r="2261" spans="2:2">
      <c r="B2261" s="172"/>
    </row>
    <row r="2262" spans="2:2">
      <c r="B2262" s="172"/>
    </row>
    <row r="2263" spans="2:2">
      <c r="B2263" s="172"/>
    </row>
    <row r="2264" spans="2:2">
      <c r="B2264" s="172"/>
    </row>
    <row r="2265" spans="2:2">
      <c r="B2265" s="172"/>
    </row>
    <row r="2266" spans="2:2">
      <c r="B2266" s="172"/>
    </row>
    <row r="2267" spans="2:2">
      <c r="B2267" s="172"/>
    </row>
    <row r="2268" spans="2:2">
      <c r="B2268" s="172"/>
    </row>
    <row r="2269" spans="2:2">
      <c r="B2269" s="172"/>
    </row>
    <row r="2270" spans="2:2">
      <c r="B2270" s="172"/>
    </row>
    <row r="2271" spans="2:2">
      <c r="B2271" s="172"/>
    </row>
    <row r="2272" spans="2:2">
      <c r="B2272" s="172"/>
    </row>
    <row r="2273" spans="2:2">
      <c r="B2273" s="172"/>
    </row>
    <row r="2274" spans="2:2">
      <c r="B2274" s="172"/>
    </row>
    <row r="2275" spans="2:2">
      <c r="B2275" s="172"/>
    </row>
    <row r="2276" spans="2:2">
      <c r="B2276" s="172"/>
    </row>
    <row r="2277" spans="2:2">
      <c r="B2277" s="172"/>
    </row>
    <row r="2278" spans="2:2">
      <c r="B2278" s="172"/>
    </row>
    <row r="2279" spans="2:2">
      <c r="B2279" s="172"/>
    </row>
    <row r="2280" spans="2:2">
      <c r="B2280" s="172"/>
    </row>
    <row r="2281" spans="2:2">
      <c r="B2281" s="172"/>
    </row>
    <row r="2282" spans="2:2">
      <c r="B2282" s="172"/>
    </row>
    <row r="2283" spans="2:2">
      <c r="B2283" s="172"/>
    </row>
    <row r="2284" spans="2:2">
      <c r="B2284" s="172"/>
    </row>
    <row r="2285" spans="2:2">
      <c r="B2285" s="172"/>
    </row>
    <row r="2286" spans="2:2">
      <c r="B2286" s="172"/>
    </row>
    <row r="2287" spans="2:2">
      <c r="B2287" s="172"/>
    </row>
    <row r="2288" spans="2:2">
      <c r="B2288" s="172"/>
    </row>
    <row r="2289" spans="2:2">
      <c r="B2289" s="172"/>
    </row>
    <row r="2290" spans="2:2">
      <c r="B2290" s="172"/>
    </row>
    <row r="2291" spans="2:2">
      <c r="B2291" s="172"/>
    </row>
    <row r="2292" spans="2:2">
      <c r="B2292" s="172"/>
    </row>
    <row r="2293" spans="2:2">
      <c r="B2293" s="172"/>
    </row>
    <row r="2294" spans="2:2">
      <c r="B2294" s="172"/>
    </row>
    <row r="2295" spans="2:2">
      <c r="B2295" s="172"/>
    </row>
    <row r="2296" spans="2:2">
      <c r="B2296" s="172"/>
    </row>
    <row r="2297" spans="2:2">
      <c r="B2297" s="172"/>
    </row>
    <row r="2298" spans="2:2">
      <c r="B2298" s="172"/>
    </row>
    <row r="2299" spans="2:2">
      <c r="B2299" s="172"/>
    </row>
    <row r="2300" spans="2:2">
      <c r="B2300" s="172"/>
    </row>
    <row r="2301" spans="2:2">
      <c r="B2301" s="172"/>
    </row>
    <row r="2302" spans="2:2">
      <c r="B2302" s="172"/>
    </row>
    <row r="2303" spans="2:2">
      <c r="B2303" s="172"/>
    </row>
    <row r="2304" spans="2:2">
      <c r="B2304" s="172"/>
    </row>
    <row r="2305" spans="2:2">
      <c r="B2305" s="172"/>
    </row>
    <row r="2306" spans="2:2">
      <c r="B2306" s="172"/>
    </row>
    <row r="2307" spans="2:2">
      <c r="B2307" s="172"/>
    </row>
    <row r="2308" spans="2:2">
      <c r="B2308" s="172"/>
    </row>
    <row r="2309" spans="2:2">
      <c r="B2309" s="172"/>
    </row>
    <row r="2310" spans="2:2">
      <c r="B2310" s="172"/>
    </row>
    <row r="2311" spans="2:2">
      <c r="B2311" s="172"/>
    </row>
    <row r="2312" spans="2:2">
      <c r="B2312" s="172"/>
    </row>
    <row r="2313" spans="2:2">
      <c r="B2313" s="172"/>
    </row>
    <row r="2314" spans="2:2">
      <c r="B2314" s="172"/>
    </row>
    <row r="2315" spans="2:2">
      <c r="B2315" s="172"/>
    </row>
    <row r="2316" spans="2:2">
      <c r="B2316" s="172"/>
    </row>
    <row r="2317" spans="2:2">
      <c r="B2317" s="172"/>
    </row>
    <row r="2318" spans="2:2">
      <c r="B2318" s="172"/>
    </row>
    <row r="2319" spans="2:2">
      <c r="B2319" s="172"/>
    </row>
    <row r="2320" spans="2:2">
      <c r="B2320" s="172"/>
    </row>
    <row r="2321" spans="2:2">
      <c r="B2321" s="172"/>
    </row>
    <row r="2322" spans="2:2">
      <c r="B2322" s="172"/>
    </row>
    <row r="2323" spans="2:2">
      <c r="B2323" s="172"/>
    </row>
    <row r="2324" spans="2:2">
      <c r="B2324" s="172"/>
    </row>
    <row r="2325" spans="2:2">
      <c r="B2325" s="172"/>
    </row>
    <row r="2326" spans="2:2">
      <c r="B2326" s="172"/>
    </row>
    <row r="2327" spans="2:2">
      <c r="B2327" s="172"/>
    </row>
    <row r="2328" spans="2:2">
      <c r="B2328" s="172"/>
    </row>
    <row r="2329" spans="2:2">
      <c r="B2329" s="172"/>
    </row>
    <row r="2330" spans="2:2">
      <c r="B2330" s="172"/>
    </row>
    <row r="2331" spans="2:2">
      <c r="B2331" s="172"/>
    </row>
    <row r="2332" spans="2:2">
      <c r="B2332" s="172"/>
    </row>
    <row r="2333" spans="2:2">
      <c r="B2333" s="172"/>
    </row>
    <row r="2334" spans="2:2">
      <c r="B2334" s="172"/>
    </row>
    <row r="2335" spans="2:2">
      <c r="B2335" s="172"/>
    </row>
    <row r="2336" spans="2:2">
      <c r="B2336" s="172"/>
    </row>
    <row r="2337" spans="2:2">
      <c r="B2337" s="172"/>
    </row>
    <row r="2338" spans="2:2">
      <c r="B2338" s="172"/>
    </row>
    <row r="2339" spans="2:2">
      <c r="B2339" s="172"/>
    </row>
    <row r="2340" spans="2:2">
      <c r="B2340" s="172"/>
    </row>
    <row r="2341" spans="2:2">
      <c r="B2341" s="172"/>
    </row>
    <row r="2342" spans="2:2">
      <c r="B2342" s="172"/>
    </row>
    <row r="2343" spans="2:2">
      <c r="B2343" s="172"/>
    </row>
    <row r="2344" spans="2:2">
      <c r="B2344" s="172"/>
    </row>
    <row r="2345" spans="2:2">
      <c r="B2345" s="172"/>
    </row>
    <row r="2346" spans="2:2">
      <c r="B2346" s="172"/>
    </row>
    <row r="2347" spans="2:2">
      <c r="B2347" s="172"/>
    </row>
    <row r="2348" spans="2:2">
      <c r="B2348" s="172"/>
    </row>
    <row r="2349" spans="2:2">
      <c r="B2349" s="172"/>
    </row>
    <row r="2350" spans="2:2">
      <c r="B2350" s="172"/>
    </row>
    <row r="2351" spans="2:2">
      <c r="B2351" s="172"/>
    </row>
    <row r="2352" spans="2:2">
      <c r="B2352" s="172"/>
    </row>
    <row r="2353" spans="2:2">
      <c r="B2353" s="172"/>
    </row>
    <row r="2354" spans="2:2">
      <c r="B2354" s="172"/>
    </row>
    <row r="2355" spans="2:2">
      <c r="B2355" s="172"/>
    </row>
    <row r="2356" spans="2:2">
      <c r="B2356" s="172"/>
    </row>
    <row r="2357" spans="2:2">
      <c r="B2357" s="172"/>
    </row>
    <row r="2358" spans="2:2">
      <c r="B2358" s="172"/>
    </row>
    <row r="2359" spans="2:2">
      <c r="B2359" s="172"/>
    </row>
    <row r="2360" spans="2:2">
      <c r="B2360" s="172"/>
    </row>
    <row r="2361" spans="2:2">
      <c r="B2361" s="172"/>
    </row>
    <row r="2362" spans="2:2">
      <c r="B2362" s="172"/>
    </row>
    <row r="2363" spans="2:2">
      <c r="B2363" s="172"/>
    </row>
    <row r="2364" spans="2:2">
      <c r="B2364" s="172"/>
    </row>
    <row r="2365" spans="2:2">
      <c r="B2365" s="172"/>
    </row>
    <row r="2366" spans="2:2">
      <c r="B2366" s="172"/>
    </row>
    <row r="2367" spans="2:2">
      <c r="B2367" s="172"/>
    </row>
    <row r="2368" spans="2:2">
      <c r="B2368" s="172"/>
    </row>
    <row r="2369" spans="2:2">
      <c r="B2369" s="172"/>
    </row>
    <row r="2370" spans="2:2">
      <c r="B2370" s="172"/>
    </row>
    <row r="2371" spans="2:2">
      <c r="B2371" s="172"/>
    </row>
    <row r="2372" spans="2:2">
      <c r="B2372" s="172"/>
    </row>
    <row r="2373" spans="2:2">
      <c r="B2373" s="172"/>
    </row>
    <row r="2374" spans="2:2">
      <c r="B2374" s="172"/>
    </row>
    <row r="2375" spans="2:2">
      <c r="B2375" s="172"/>
    </row>
    <row r="2376" spans="2:2">
      <c r="B2376" s="172"/>
    </row>
    <row r="2377" spans="2:2">
      <c r="B2377" s="172"/>
    </row>
    <row r="2378" spans="2:2">
      <c r="B2378" s="172"/>
    </row>
    <row r="2379" spans="2:2">
      <c r="B2379" s="172"/>
    </row>
    <row r="2380" spans="2:2">
      <c r="B2380" s="172"/>
    </row>
    <row r="2381" spans="2:2">
      <c r="B2381" s="172"/>
    </row>
    <row r="2382" spans="2:2">
      <c r="B2382" s="172"/>
    </row>
    <row r="2383" spans="2:2">
      <c r="B2383" s="172"/>
    </row>
    <row r="2384" spans="2:2">
      <c r="B2384" s="172"/>
    </row>
    <row r="2385" spans="2:2">
      <c r="B2385" s="172"/>
    </row>
    <row r="2386" spans="2:2">
      <c r="B2386" s="172"/>
    </row>
    <row r="2387" spans="2:2">
      <c r="B2387" s="172"/>
    </row>
    <row r="2388" spans="2:2">
      <c r="B2388" s="172"/>
    </row>
    <row r="2389" spans="2:2">
      <c r="B2389" s="172"/>
    </row>
    <row r="2390" spans="2:2">
      <c r="B2390" s="172"/>
    </row>
    <row r="2391" spans="2:2">
      <c r="B2391" s="172"/>
    </row>
    <row r="2392" spans="2:2">
      <c r="B2392" s="172"/>
    </row>
    <row r="2393" spans="2:2">
      <c r="B2393" s="172"/>
    </row>
    <row r="2394" spans="2:2">
      <c r="B2394" s="172"/>
    </row>
    <row r="2395" spans="2:2">
      <c r="B2395" s="172"/>
    </row>
    <row r="2396" spans="2:2">
      <c r="B2396" s="172"/>
    </row>
    <row r="2397" spans="2:2">
      <c r="B2397" s="172"/>
    </row>
    <row r="2398" spans="2:2">
      <c r="B2398" s="172"/>
    </row>
    <row r="2399" spans="2:2">
      <c r="B2399" s="172"/>
    </row>
    <row r="2400" spans="2:2">
      <c r="B2400" s="172"/>
    </row>
    <row r="2401" spans="2:2">
      <c r="B2401" s="172"/>
    </row>
    <row r="2402" spans="2:2">
      <c r="B2402" s="172"/>
    </row>
    <row r="2403" spans="2:2">
      <c r="B2403" s="172"/>
    </row>
    <row r="2404" spans="2:2">
      <c r="B2404" s="172"/>
    </row>
    <row r="2405" spans="2:2">
      <c r="B2405" s="172"/>
    </row>
    <row r="2406" spans="2:2">
      <c r="B2406" s="172"/>
    </row>
    <row r="2407" spans="2:2">
      <c r="B2407" s="172"/>
    </row>
    <row r="2408" spans="2:2">
      <c r="B2408" s="172"/>
    </row>
    <row r="2409" spans="2:2">
      <c r="B2409" s="172"/>
    </row>
    <row r="2410" spans="2:2">
      <c r="B2410" s="172"/>
    </row>
    <row r="2411" spans="2:2">
      <c r="B2411" s="172"/>
    </row>
    <row r="2412" spans="2:2">
      <c r="B2412" s="172"/>
    </row>
    <row r="2413" spans="2:2">
      <c r="B2413" s="172"/>
    </row>
    <row r="2414" spans="2:2">
      <c r="B2414" s="172"/>
    </row>
    <row r="2415" spans="2:2">
      <c r="B2415" s="172"/>
    </row>
    <row r="2416" spans="2:2">
      <c r="B2416" s="172"/>
    </row>
    <row r="2417" spans="2:2">
      <c r="B2417" s="172"/>
    </row>
    <row r="2418" spans="2:2">
      <c r="B2418" s="172"/>
    </row>
    <row r="2419" spans="2:2">
      <c r="B2419" s="172"/>
    </row>
    <row r="2420" spans="2:2">
      <c r="B2420" s="172"/>
    </row>
    <row r="2421" spans="2:2">
      <c r="B2421" s="172"/>
    </row>
    <row r="2422" spans="2:2">
      <c r="B2422" s="172"/>
    </row>
    <row r="2423" spans="2:2">
      <c r="B2423" s="172"/>
    </row>
    <row r="2424" spans="2:2">
      <c r="B2424" s="172"/>
    </row>
    <row r="2425" spans="2:2">
      <c r="B2425" s="172"/>
    </row>
    <row r="2426" spans="2:2">
      <c r="B2426" s="172"/>
    </row>
    <row r="2427" spans="2:2">
      <c r="B2427" s="172"/>
    </row>
    <row r="2428" spans="2:2">
      <c r="B2428" s="172"/>
    </row>
    <row r="2429" spans="2:2">
      <c r="B2429" s="172"/>
    </row>
    <row r="2430" spans="2:2">
      <c r="B2430" s="172"/>
    </row>
    <row r="2431" spans="2:2">
      <c r="B2431" s="172"/>
    </row>
    <row r="2432" spans="2:2">
      <c r="B2432" s="172"/>
    </row>
    <row r="2433" spans="2:2">
      <c r="B2433" s="172"/>
    </row>
    <row r="2434" spans="2:2">
      <c r="B2434" s="172"/>
    </row>
    <row r="2435" spans="2:2">
      <c r="B2435" s="172"/>
    </row>
    <row r="2436" spans="2:2">
      <c r="B2436" s="172"/>
    </row>
    <row r="2437" spans="2:2">
      <c r="B2437" s="172"/>
    </row>
    <row r="2438" spans="2:2">
      <c r="B2438" s="172"/>
    </row>
    <row r="2439" spans="2:2">
      <c r="B2439" s="172"/>
    </row>
    <row r="2440" spans="2:2">
      <c r="B2440" s="172"/>
    </row>
    <row r="2441" spans="2:2">
      <c r="B2441" s="172"/>
    </row>
    <row r="2442" spans="2:2">
      <c r="B2442" s="172"/>
    </row>
    <row r="2443" spans="2:2">
      <c r="B2443" s="172"/>
    </row>
    <row r="2444" spans="2:2">
      <c r="B2444" s="172"/>
    </row>
    <row r="2445" spans="2:2">
      <c r="B2445" s="172"/>
    </row>
    <row r="2446" spans="2:2">
      <c r="B2446" s="172"/>
    </row>
    <row r="2447" spans="2:2">
      <c r="B2447" s="172"/>
    </row>
    <row r="2448" spans="2:2">
      <c r="B2448" s="172"/>
    </row>
    <row r="2449" spans="2:2">
      <c r="B2449" s="172"/>
    </row>
    <row r="2450" spans="2:2">
      <c r="B2450" s="172"/>
    </row>
    <row r="2451" spans="2:2">
      <c r="B2451" s="172"/>
    </row>
    <row r="2452" spans="2:2">
      <c r="B2452" s="172"/>
    </row>
    <row r="2453" spans="2:2">
      <c r="B2453" s="172"/>
    </row>
    <row r="2454" spans="2:2">
      <c r="B2454" s="172"/>
    </row>
    <row r="2455" spans="2:2">
      <c r="B2455" s="172"/>
    </row>
    <row r="2456" spans="2:2">
      <c r="B2456" s="172"/>
    </row>
    <row r="2457" spans="2:2">
      <c r="B2457" s="172"/>
    </row>
    <row r="2458" spans="2:2">
      <c r="B2458" s="172"/>
    </row>
    <row r="2459" spans="2:2">
      <c r="B2459" s="172"/>
    </row>
    <row r="2460" spans="2:2">
      <c r="B2460" s="172"/>
    </row>
    <row r="2461" spans="2:2">
      <c r="B2461" s="172"/>
    </row>
    <row r="2462" spans="2:2">
      <c r="B2462" s="172"/>
    </row>
    <row r="2463" spans="2:2">
      <c r="B2463" s="172"/>
    </row>
    <row r="2464" spans="2:2">
      <c r="B2464" s="172"/>
    </row>
    <row r="2465" spans="2:2">
      <c r="B2465" s="172"/>
    </row>
    <row r="2466" spans="2:2">
      <c r="B2466" s="172"/>
    </row>
    <row r="2467" spans="2:2">
      <c r="B2467" s="172"/>
    </row>
    <row r="2468" spans="2:2">
      <c r="B2468" s="172"/>
    </row>
    <row r="2469" spans="2:2">
      <c r="B2469" s="172"/>
    </row>
    <row r="2470" spans="2:2">
      <c r="B2470" s="172"/>
    </row>
    <row r="2471" spans="2:2">
      <c r="B2471" s="172"/>
    </row>
    <row r="2472" spans="2:2">
      <c r="B2472" s="172"/>
    </row>
    <row r="2473" spans="2:2">
      <c r="B2473" s="172"/>
    </row>
    <row r="2474" spans="2:2">
      <c r="B2474" s="172"/>
    </row>
    <row r="2475" spans="2:2">
      <c r="B2475" s="172"/>
    </row>
    <row r="2476" spans="2:2">
      <c r="B2476" s="172"/>
    </row>
    <row r="2477" spans="2:2">
      <c r="B2477" s="172"/>
    </row>
    <row r="2478" spans="2:2">
      <c r="B2478" s="172"/>
    </row>
    <row r="2479" spans="2:2">
      <c r="B2479" s="172"/>
    </row>
    <row r="2480" spans="2:2">
      <c r="B2480" s="172"/>
    </row>
    <row r="2481" spans="2:2">
      <c r="B2481" s="172"/>
    </row>
    <row r="2482" spans="2:2">
      <c r="B2482" s="172"/>
    </row>
    <row r="2483" spans="2:2">
      <c r="B2483" s="172"/>
    </row>
    <row r="2484" spans="2:2">
      <c r="B2484" s="172"/>
    </row>
    <row r="2485" spans="2:2">
      <c r="B2485" s="172"/>
    </row>
    <row r="2486" spans="2:2">
      <c r="B2486" s="172"/>
    </row>
    <row r="2487" spans="2:2">
      <c r="B2487" s="172"/>
    </row>
    <row r="2488" spans="2:2">
      <c r="B2488" s="172"/>
    </row>
    <row r="2489" spans="2:2">
      <c r="B2489" s="172"/>
    </row>
    <row r="2490" spans="2:2">
      <c r="B2490" s="172"/>
    </row>
    <row r="2491" spans="2:2">
      <c r="B2491" s="172"/>
    </row>
    <row r="2492" spans="2:2">
      <c r="B2492" s="172"/>
    </row>
    <row r="2493" spans="2:2">
      <c r="B2493" s="172"/>
    </row>
    <row r="2494" spans="2:2">
      <c r="B2494" s="172"/>
    </row>
    <row r="2495" spans="2:2">
      <c r="B2495" s="172"/>
    </row>
    <row r="2496" spans="2:2">
      <c r="B2496" s="172"/>
    </row>
    <row r="2497" spans="2:2">
      <c r="B2497" s="172"/>
    </row>
    <row r="2498" spans="2:2">
      <c r="B2498" s="172"/>
    </row>
    <row r="2499" spans="2:2">
      <c r="B2499" s="172"/>
    </row>
    <row r="2500" spans="2:2">
      <c r="B2500" s="172"/>
    </row>
    <row r="2501" spans="2:2">
      <c r="B2501" s="172"/>
    </row>
    <row r="2502" spans="2:2">
      <c r="B2502" s="172"/>
    </row>
    <row r="2503" spans="2:2">
      <c r="B2503" s="172"/>
    </row>
    <row r="2504" spans="2:2">
      <c r="B2504" s="172"/>
    </row>
    <row r="2505" spans="2:2">
      <c r="B2505" s="172"/>
    </row>
    <row r="2506" spans="2:2">
      <c r="B2506" s="172"/>
    </row>
    <row r="2507" spans="2:2">
      <c r="B2507" s="172"/>
    </row>
    <row r="2508" spans="2:2">
      <c r="B2508" s="172"/>
    </row>
    <row r="2509" spans="2:2">
      <c r="B2509" s="172"/>
    </row>
    <row r="2510" spans="2:2">
      <c r="B2510" s="172"/>
    </row>
    <row r="2511" spans="2:2">
      <c r="B2511" s="172"/>
    </row>
    <row r="2512" spans="2:2">
      <c r="B2512" s="172"/>
    </row>
    <row r="2513" spans="2:2">
      <c r="B2513" s="172"/>
    </row>
    <row r="2514" spans="2:2">
      <c r="B2514" s="172"/>
    </row>
    <row r="2515" spans="2:2">
      <c r="B2515" s="172"/>
    </row>
    <row r="2516" spans="2:2">
      <c r="B2516" s="172"/>
    </row>
    <row r="2517" spans="2:2">
      <c r="B2517" s="172"/>
    </row>
    <row r="2518" spans="2:2">
      <c r="B2518" s="172"/>
    </row>
    <row r="2519" spans="2:2">
      <c r="B2519" s="172"/>
    </row>
    <row r="2520" spans="2:2">
      <c r="B2520" s="172"/>
    </row>
    <row r="2521" spans="2:2">
      <c r="B2521" s="172"/>
    </row>
    <row r="2522" spans="2:2">
      <c r="B2522" s="172"/>
    </row>
    <row r="2523" spans="2:2">
      <c r="B2523" s="172"/>
    </row>
    <row r="2524" spans="2:2">
      <c r="B2524" s="172"/>
    </row>
    <row r="2525" spans="2:2">
      <c r="B2525" s="172"/>
    </row>
    <row r="2526" spans="2:2">
      <c r="B2526" s="172"/>
    </row>
    <row r="2527" spans="2:2">
      <c r="B2527" s="172"/>
    </row>
    <row r="2528" spans="2:2">
      <c r="B2528" s="172"/>
    </row>
    <row r="2529" spans="2:2">
      <c r="B2529" s="172"/>
    </row>
    <row r="2530" spans="2:2">
      <c r="B2530" s="172"/>
    </row>
    <row r="2531" spans="2:2">
      <c r="B2531" s="172"/>
    </row>
    <row r="2532" spans="2:2">
      <c r="B2532" s="172"/>
    </row>
    <row r="2533" spans="2:2">
      <c r="B2533" s="172"/>
    </row>
    <row r="2534" spans="2:2">
      <c r="B2534" s="172"/>
    </row>
    <row r="2535" spans="2:2">
      <c r="B2535" s="172"/>
    </row>
    <row r="2536" spans="2:2">
      <c r="B2536" s="172"/>
    </row>
    <row r="2537" spans="2:2">
      <c r="B2537" s="172"/>
    </row>
    <row r="2538" spans="2:2">
      <c r="B2538" s="172"/>
    </row>
    <row r="2539" spans="2:2">
      <c r="B2539" s="172"/>
    </row>
    <row r="2540" spans="2:2">
      <c r="B2540" s="172"/>
    </row>
    <row r="2541" spans="2:2">
      <c r="B2541" s="172"/>
    </row>
    <row r="2542" spans="2:2">
      <c r="B2542" s="172"/>
    </row>
    <row r="2543" spans="2:2">
      <c r="B2543" s="172"/>
    </row>
    <row r="2544" spans="2:2">
      <c r="B2544" s="172"/>
    </row>
    <row r="2545" spans="2:2">
      <c r="B2545" s="172"/>
    </row>
    <row r="2546" spans="2:2">
      <c r="B2546" s="172"/>
    </row>
    <row r="2547" spans="2:2">
      <c r="B2547" s="172"/>
    </row>
    <row r="2548" spans="2:2">
      <c r="B2548" s="172"/>
    </row>
    <row r="2549" spans="2:2">
      <c r="B2549" s="172"/>
    </row>
    <row r="2550" spans="2:2">
      <c r="B2550" s="172"/>
    </row>
    <row r="2551" spans="2:2">
      <c r="B2551" s="172"/>
    </row>
    <row r="2552" spans="2:2">
      <c r="B2552" s="172"/>
    </row>
    <row r="2553" spans="2:2">
      <c r="B2553" s="172"/>
    </row>
    <row r="2554" spans="2:2">
      <c r="B2554" s="172"/>
    </row>
    <row r="2555" spans="2:2">
      <c r="B2555" s="172"/>
    </row>
    <row r="2556" spans="2:2">
      <c r="B2556" s="172"/>
    </row>
    <row r="2557" spans="2:2">
      <c r="B2557" s="172"/>
    </row>
    <row r="2558" spans="2:2">
      <c r="B2558" s="172"/>
    </row>
    <row r="2559" spans="2:2">
      <c r="B2559" s="172"/>
    </row>
    <row r="2560" spans="2:2">
      <c r="B2560" s="172"/>
    </row>
    <row r="2561" spans="2:2">
      <c r="B2561" s="172"/>
    </row>
    <row r="2562" spans="2:2">
      <c r="B2562" s="172"/>
    </row>
    <row r="2563" spans="2:2">
      <c r="B2563" s="172"/>
    </row>
    <row r="2564" spans="2:2">
      <c r="B2564" s="172"/>
    </row>
    <row r="2565" spans="2:2">
      <c r="B2565" s="172"/>
    </row>
    <row r="2566" spans="2:2">
      <c r="B2566" s="172"/>
    </row>
    <row r="2567" spans="2:2">
      <c r="B2567" s="172"/>
    </row>
    <row r="2568" spans="2:2">
      <c r="B2568" s="172"/>
    </row>
    <row r="2569" spans="2:2">
      <c r="B2569" s="172"/>
    </row>
    <row r="2570" spans="2:2">
      <c r="B2570" s="172"/>
    </row>
    <row r="2571" spans="2:2">
      <c r="B2571" s="172"/>
    </row>
    <row r="2572" spans="2:2">
      <c r="B2572" s="172"/>
    </row>
    <row r="2573" spans="2:2">
      <c r="B2573" s="172"/>
    </row>
    <row r="2574" spans="2:2">
      <c r="B2574" s="172"/>
    </row>
    <row r="2575" spans="2:2">
      <c r="B2575" s="172"/>
    </row>
    <row r="2576" spans="2:2">
      <c r="B2576" s="172"/>
    </row>
    <row r="2577" spans="2:2">
      <c r="B2577" s="172"/>
    </row>
    <row r="2578" spans="2:2">
      <c r="B2578" s="172"/>
    </row>
    <row r="2579" spans="2:2">
      <c r="B2579" s="172"/>
    </row>
    <row r="2580" spans="2:2">
      <c r="B2580" s="172"/>
    </row>
    <row r="2581" spans="2:2">
      <c r="B2581" s="172"/>
    </row>
    <row r="2582" spans="2:2">
      <c r="B2582" s="172"/>
    </row>
    <row r="2583" spans="2:2">
      <c r="B2583" s="172"/>
    </row>
    <row r="2584" spans="2:2">
      <c r="B2584" s="172"/>
    </row>
    <row r="2585" spans="2:2">
      <c r="B2585" s="172"/>
    </row>
    <row r="2586" spans="2:2">
      <c r="B2586" s="172"/>
    </row>
    <row r="2587" spans="2:2">
      <c r="B2587" s="172"/>
    </row>
    <row r="2588" spans="2:2">
      <c r="B2588" s="172"/>
    </row>
    <row r="2589" spans="2:2">
      <c r="B2589" s="172"/>
    </row>
    <row r="2590" spans="2:2">
      <c r="B2590" s="172"/>
    </row>
    <row r="2591" spans="2:2">
      <c r="B2591" s="172"/>
    </row>
    <row r="2592" spans="2:2">
      <c r="B2592" s="172"/>
    </row>
    <row r="2593" spans="2:2">
      <c r="B2593" s="172"/>
    </row>
    <row r="2594" spans="2:2">
      <c r="B2594" s="172"/>
    </row>
    <row r="2595" spans="2:2">
      <c r="B2595" s="172"/>
    </row>
    <row r="2596" spans="2:2">
      <c r="B2596" s="172"/>
    </row>
    <row r="2597" spans="2:2">
      <c r="B2597" s="172"/>
    </row>
    <row r="2598" spans="2:2">
      <c r="B2598" s="172"/>
    </row>
    <row r="2599" spans="2:2">
      <c r="B2599" s="172"/>
    </row>
    <row r="2600" spans="2:2">
      <c r="B2600" s="172"/>
    </row>
    <row r="2601" spans="2:2">
      <c r="B2601" s="172"/>
    </row>
    <row r="2602" spans="2:2">
      <c r="B2602" s="172"/>
    </row>
    <row r="2603" spans="2:2">
      <c r="B2603" s="172"/>
    </row>
    <row r="2604" spans="2:2">
      <c r="B2604" s="172"/>
    </row>
    <row r="2605" spans="2:2">
      <c r="B2605" s="172"/>
    </row>
    <row r="2606" spans="2:2">
      <c r="B2606" s="172"/>
    </row>
    <row r="2607" spans="2:2">
      <c r="B2607" s="172"/>
    </row>
    <row r="2608" spans="2:2">
      <c r="B2608" s="172"/>
    </row>
    <row r="2609" spans="2:2">
      <c r="B2609" s="172"/>
    </row>
    <row r="2610" spans="2:2">
      <c r="B2610" s="172"/>
    </row>
    <row r="2611" spans="2:2">
      <c r="B2611" s="172"/>
    </row>
    <row r="2612" spans="2:2">
      <c r="B2612" s="172"/>
    </row>
    <row r="2613" spans="2:2">
      <c r="B2613" s="172"/>
    </row>
    <row r="2614" spans="2:2">
      <c r="B2614" s="172"/>
    </row>
    <row r="2615" spans="2:2">
      <c r="B2615" s="172"/>
    </row>
    <row r="2616" spans="2:2">
      <c r="B2616" s="172"/>
    </row>
    <row r="2617" spans="2:2">
      <c r="B2617" s="172"/>
    </row>
    <row r="2618" spans="2:2">
      <c r="B2618" s="172"/>
    </row>
    <row r="2619" spans="2:2">
      <c r="B2619" s="172"/>
    </row>
    <row r="2620" spans="2:2">
      <c r="B2620" s="172"/>
    </row>
    <row r="2621" spans="2:2">
      <c r="B2621" s="172"/>
    </row>
    <row r="2622" spans="2:2">
      <c r="B2622" s="172"/>
    </row>
    <row r="2623" spans="2:2">
      <c r="B2623" s="172"/>
    </row>
    <row r="2624" spans="2:2">
      <c r="B2624" s="172"/>
    </row>
    <row r="2625" spans="2:2">
      <c r="B2625" s="172"/>
    </row>
    <row r="2626" spans="2:2">
      <c r="B2626" s="172"/>
    </row>
    <row r="2627" spans="2:2">
      <c r="B2627" s="172"/>
    </row>
    <row r="2628" spans="2:2">
      <c r="B2628" s="172"/>
    </row>
    <row r="2629" spans="2:2">
      <c r="B2629" s="172"/>
    </row>
    <row r="2630" spans="2:2">
      <c r="B2630" s="172"/>
    </row>
    <row r="2631" spans="2:2">
      <c r="B2631" s="172"/>
    </row>
    <row r="2632" spans="2:2">
      <c r="B2632" s="172"/>
    </row>
    <row r="2633" spans="2:2">
      <c r="B2633" s="172"/>
    </row>
    <row r="2634" spans="2:2">
      <c r="B2634" s="172"/>
    </row>
    <row r="2635" spans="2:2">
      <c r="B2635" s="172"/>
    </row>
    <row r="2636" spans="2:2">
      <c r="B2636" s="172"/>
    </row>
    <row r="2637" spans="2:2">
      <c r="B2637" s="172"/>
    </row>
    <row r="2638" spans="2:2">
      <c r="B2638" s="172"/>
    </row>
    <row r="2639" spans="2:2">
      <c r="B2639" s="172"/>
    </row>
    <row r="2640" spans="2:2">
      <c r="B2640" s="172"/>
    </row>
    <row r="2641" spans="2:2">
      <c r="B2641" s="172"/>
    </row>
    <row r="2642" spans="2:2">
      <c r="B2642" s="172"/>
    </row>
    <row r="2643" spans="2:2">
      <c r="B2643" s="172"/>
    </row>
    <row r="2644" spans="2:2">
      <c r="B2644" s="172"/>
    </row>
    <row r="2645" spans="2:2">
      <c r="B2645" s="172"/>
    </row>
    <row r="2646" spans="2:2">
      <c r="B2646" s="172"/>
    </row>
    <row r="2647" spans="2:2">
      <c r="B2647" s="172"/>
    </row>
    <row r="2648" spans="2:2">
      <c r="B2648" s="172"/>
    </row>
    <row r="2649" spans="2:2">
      <c r="B2649" s="172"/>
    </row>
    <row r="2650" spans="2:2">
      <c r="B2650" s="172"/>
    </row>
    <row r="2651" spans="2:2">
      <c r="B2651" s="172"/>
    </row>
    <row r="2652" spans="2:2">
      <c r="B2652" s="172"/>
    </row>
    <row r="2653" spans="2:2">
      <c r="B2653" s="172"/>
    </row>
    <row r="2654" spans="2:2">
      <c r="B2654" s="172"/>
    </row>
    <row r="2655" spans="2:2">
      <c r="B2655" s="172"/>
    </row>
    <row r="2656" spans="2:2">
      <c r="B2656" s="172"/>
    </row>
    <row r="2657" spans="2:2">
      <c r="B2657" s="172"/>
    </row>
    <row r="2658" spans="2:2">
      <c r="B2658" s="172"/>
    </row>
    <row r="2659" spans="2:2">
      <c r="B2659" s="172"/>
    </row>
    <row r="2660" spans="2:2">
      <c r="B2660" s="172"/>
    </row>
    <row r="2661" spans="2:2">
      <c r="B2661" s="172"/>
    </row>
    <row r="2662" spans="2:2">
      <c r="B2662" s="172"/>
    </row>
    <row r="2663" spans="2:2">
      <c r="B2663" s="172"/>
    </row>
    <row r="2664" spans="2:2">
      <c r="B2664" s="172"/>
    </row>
    <row r="2665" spans="2:2">
      <c r="B2665" s="172"/>
    </row>
    <row r="2666" spans="2:2">
      <c r="B2666" s="172"/>
    </row>
    <row r="2667" spans="2:2">
      <c r="B2667" s="172"/>
    </row>
    <row r="2668" spans="2:2">
      <c r="B2668" s="172"/>
    </row>
    <row r="2669" spans="2:2">
      <c r="B2669" s="172"/>
    </row>
    <row r="2670" spans="2:2">
      <c r="B2670" s="172"/>
    </row>
    <row r="2671" spans="2:2">
      <c r="B2671" s="172"/>
    </row>
    <row r="2672" spans="2:2">
      <c r="B2672" s="172"/>
    </row>
    <row r="2673" spans="2:2">
      <c r="B2673" s="172"/>
    </row>
    <row r="2674" spans="2:2">
      <c r="B2674" s="172"/>
    </row>
    <row r="2675" spans="2:2">
      <c r="B2675" s="172"/>
    </row>
    <row r="2676" spans="2:2">
      <c r="B2676" s="172"/>
    </row>
    <row r="2677" spans="2:2">
      <c r="B2677" s="172"/>
    </row>
    <row r="2678" spans="2:2">
      <c r="B2678" s="172"/>
    </row>
    <row r="2679" spans="2:2">
      <c r="B2679" s="172"/>
    </row>
    <row r="2680" spans="2:2">
      <c r="B2680" s="172"/>
    </row>
    <row r="2681" spans="2:2">
      <c r="B2681" s="172"/>
    </row>
    <row r="2682" spans="2:2">
      <c r="B2682" s="172"/>
    </row>
    <row r="2683" spans="2:2">
      <c r="B2683" s="172"/>
    </row>
    <row r="2684" spans="2:2">
      <c r="B2684" s="172"/>
    </row>
    <row r="2685" spans="2:2">
      <c r="B2685" s="172"/>
    </row>
    <row r="2686" spans="2:2">
      <c r="B2686" s="172"/>
    </row>
    <row r="2687" spans="2:2">
      <c r="B2687" s="172"/>
    </row>
    <row r="2688" spans="2:2">
      <c r="B2688" s="172"/>
    </row>
    <row r="2689" spans="2:2">
      <c r="B2689" s="172"/>
    </row>
    <row r="2690" spans="2:2">
      <c r="B2690" s="172"/>
    </row>
    <row r="2691" spans="2:2">
      <c r="B2691" s="172"/>
    </row>
    <row r="2692" spans="2:2">
      <c r="B2692" s="172"/>
    </row>
    <row r="2693" spans="2:2">
      <c r="B2693" s="172"/>
    </row>
    <row r="2694" spans="2:2">
      <c r="B2694" s="172"/>
    </row>
    <row r="2695" spans="2:2">
      <c r="B2695" s="172"/>
    </row>
    <row r="2696" spans="2:2">
      <c r="B2696" s="172"/>
    </row>
    <row r="2697" spans="2:2">
      <c r="B2697" s="172"/>
    </row>
    <row r="2698" spans="2:2">
      <c r="B2698" s="172"/>
    </row>
    <row r="2699" spans="2:2">
      <c r="B2699" s="172"/>
    </row>
    <row r="2700" spans="2:2">
      <c r="B2700" s="172"/>
    </row>
    <row r="2701" spans="2:2">
      <c r="B2701" s="172"/>
    </row>
    <row r="2702" spans="2:2">
      <c r="B2702" s="172"/>
    </row>
    <row r="2703" spans="2:2">
      <c r="B2703" s="172"/>
    </row>
    <row r="2704" spans="2:2">
      <c r="B2704" s="172"/>
    </row>
    <row r="2705" spans="2:2">
      <c r="B2705" s="172"/>
    </row>
    <row r="2706" spans="2:2">
      <c r="B2706" s="172"/>
    </row>
    <row r="2707" spans="2:2">
      <c r="B2707" s="172"/>
    </row>
    <row r="2708" spans="2:2">
      <c r="B2708" s="172"/>
    </row>
    <row r="2709" spans="2:2">
      <c r="B2709" s="172"/>
    </row>
    <row r="2710" spans="2:2">
      <c r="B2710" s="172"/>
    </row>
    <row r="2711" spans="2:2">
      <c r="B2711" s="172"/>
    </row>
    <row r="2712" spans="2:2">
      <c r="B2712" s="172"/>
    </row>
    <row r="2713" spans="2:2">
      <c r="B2713" s="172"/>
    </row>
    <row r="2714" spans="2:2">
      <c r="B2714" s="172"/>
    </row>
    <row r="2715" spans="2:2">
      <c r="B2715" s="172"/>
    </row>
    <row r="2716" spans="2:2">
      <c r="B2716" s="172"/>
    </row>
    <row r="2717" spans="2:2">
      <c r="B2717" s="172"/>
    </row>
    <row r="2718" spans="2:2">
      <c r="B2718" s="172"/>
    </row>
    <row r="2719" spans="2:2">
      <c r="B2719" s="172"/>
    </row>
    <row r="2720" spans="2:2">
      <c r="B2720" s="172"/>
    </row>
    <row r="2721" spans="2:2">
      <c r="B2721" s="172"/>
    </row>
    <row r="2722" spans="2:2">
      <c r="B2722" s="172"/>
    </row>
    <row r="2723" spans="2:2">
      <c r="B2723" s="172"/>
    </row>
    <row r="2724" spans="2:2">
      <c r="B2724" s="172"/>
    </row>
    <row r="2725" spans="2:2">
      <c r="B2725" s="172"/>
    </row>
    <row r="2726" spans="2:2">
      <c r="B2726" s="172"/>
    </row>
    <row r="2727" spans="2:2">
      <c r="B2727" s="172"/>
    </row>
    <row r="2728" spans="2:2">
      <c r="B2728" s="172"/>
    </row>
    <row r="2729" spans="2:2">
      <c r="B2729" s="172"/>
    </row>
    <row r="2730" spans="2:2">
      <c r="B2730" s="172"/>
    </row>
    <row r="2731" spans="2:2">
      <c r="B2731" s="172"/>
    </row>
    <row r="2732" spans="2:2">
      <c r="B2732" s="172"/>
    </row>
    <row r="2733" spans="2:2">
      <c r="B2733" s="172"/>
    </row>
    <row r="2734" spans="2:2">
      <c r="B2734" s="172"/>
    </row>
    <row r="2735" spans="2:2">
      <c r="B2735" s="172"/>
    </row>
    <row r="2736" spans="2:2">
      <c r="B2736" s="172"/>
    </row>
    <row r="2737" spans="2:2">
      <c r="B2737" s="172"/>
    </row>
    <row r="2738" spans="2:2">
      <c r="B2738" s="172"/>
    </row>
    <row r="2739" spans="2:2">
      <c r="B2739" s="172"/>
    </row>
    <row r="2740" spans="2:2">
      <c r="B2740" s="172"/>
    </row>
    <row r="2741" spans="2:2">
      <c r="B2741" s="172"/>
    </row>
    <row r="2742" spans="2:2">
      <c r="B2742" s="172"/>
    </row>
    <row r="2743" spans="2:2">
      <c r="B2743" s="172"/>
    </row>
    <row r="2744" spans="2:2">
      <c r="B2744" s="172"/>
    </row>
    <row r="2745" spans="2:2">
      <c r="B2745" s="172"/>
    </row>
    <row r="2746" spans="2:2">
      <c r="B2746" s="172"/>
    </row>
    <row r="2747" spans="2:2">
      <c r="B2747" s="172"/>
    </row>
    <row r="2748" spans="2:2">
      <c r="B2748" s="172"/>
    </row>
    <row r="2749" spans="2:2">
      <c r="B2749" s="172"/>
    </row>
    <row r="2750" spans="2:2">
      <c r="B2750" s="172"/>
    </row>
    <row r="2751" spans="2:2">
      <c r="B2751" s="172"/>
    </row>
    <row r="2752" spans="2:2">
      <c r="B2752" s="172"/>
    </row>
    <row r="2753" spans="2:2">
      <c r="B2753" s="172"/>
    </row>
    <row r="2754" spans="2:2">
      <c r="B2754" s="172"/>
    </row>
    <row r="2755" spans="2:2">
      <c r="B2755" s="172"/>
    </row>
    <row r="2756" spans="2:2">
      <c r="B2756" s="172"/>
    </row>
    <row r="2757" spans="2:2">
      <c r="B2757" s="172"/>
    </row>
    <row r="2758" spans="2:2">
      <c r="B2758" s="172"/>
    </row>
    <row r="2759" spans="2:2">
      <c r="B2759" s="172"/>
    </row>
    <row r="2760" spans="2:2">
      <c r="B2760" s="172"/>
    </row>
    <row r="2761" spans="2:2">
      <c r="B2761" s="172"/>
    </row>
    <row r="2762" spans="2:2">
      <c r="B2762" s="172"/>
    </row>
    <row r="2763" spans="2:2">
      <c r="B2763" s="172"/>
    </row>
    <row r="2764" spans="2:2">
      <c r="B2764" s="172"/>
    </row>
    <row r="2765" spans="2:2">
      <c r="B2765" s="172"/>
    </row>
    <row r="2766" spans="2:2">
      <c r="B2766" s="172"/>
    </row>
    <row r="2767" spans="2:2">
      <c r="B2767" s="172"/>
    </row>
    <row r="2768" spans="2:2">
      <c r="B2768" s="172"/>
    </row>
    <row r="2769" spans="2:2">
      <c r="B2769" s="172"/>
    </row>
    <row r="2770" spans="2:2">
      <c r="B2770" s="172"/>
    </row>
    <row r="2771" spans="2:2">
      <c r="B2771" s="172"/>
    </row>
    <row r="2772" spans="2:2">
      <c r="B2772" s="172"/>
    </row>
    <row r="2773" spans="2:2">
      <c r="B2773" s="172"/>
    </row>
    <row r="2774" spans="2:2">
      <c r="B2774" s="172"/>
    </row>
    <row r="2775" spans="2:2">
      <c r="B2775" s="172"/>
    </row>
    <row r="2776" spans="2:2">
      <c r="B2776" s="172"/>
    </row>
    <row r="2777" spans="2:2">
      <c r="B2777" s="172"/>
    </row>
    <row r="2778" spans="2:2">
      <c r="B2778" s="172"/>
    </row>
    <row r="2779" spans="2:2">
      <c r="B2779" s="172"/>
    </row>
    <row r="2780" spans="2:2">
      <c r="B2780" s="172"/>
    </row>
    <row r="2781" spans="2:2">
      <c r="B2781" s="172"/>
    </row>
    <row r="2782" spans="2:2">
      <c r="B2782" s="172"/>
    </row>
    <row r="2783" spans="2:2">
      <c r="B2783" s="172"/>
    </row>
    <row r="2784" spans="2:2">
      <c r="B2784" s="172"/>
    </row>
    <row r="2785" spans="2:2">
      <c r="B2785" s="172"/>
    </row>
    <row r="2786" spans="2:2">
      <c r="B2786" s="172"/>
    </row>
    <row r="2787" spans="2:2">
      <c r="B2787" s="172"/>
    </row>
    <row r="2788" spans="2:2">
      <c r="B2788" s="172"/>
    </row>
    <row r="2789" spans="2:2">
      <c r="B2789" s="172"/>
    </row>
    <row r="2790" spans="2:2">
      <c r="B2790" s="172"/>
    </row>
    <row r="2791" spans="2:2">
      <c r="B2791" s="172"/>
    </row>
    <row r="2792" spans="2:2">
      <c r="B2792" s="172"/>
    </row>
    <row r="2793" spans="2:2">
      <c r="B2793" s="172"/>
    </row>
    <row r="2794" spans="2:2">
      <c r="B2794" s="172"/>
    </row>
    <row r="2795" spans="2:2">
      <c r="B2795" s="172"/>
    </row>
    <row r="2796" spans="2:2">
      <c r="B2796" s="172"/>
    </row>
    <row r="2797" spans="2:2">
      <c r="B2797" s="172"/>
    </row>
    <row r="2798" spans="2:2">
      <c r="B2798" s="172"/>
    </row>
    <row r="2799" spans="2:2">
      <c r="B2799" s="172"/>
    </row>
    <row r="2800" spans="2:2">
      <c r="B2800" s="172"/>
    </row>
    <row r="2801" spans="2:2">
      <c r="B2801" s="172"/>
    </row>
    <row r="2802" spans="2:2">
      <c r="B2802" s="172"/>
    </row>
    <row r="2803" spans="2:2">
      <c r="B2803" s="172"/>
    </row>
    <row r="2804" spans="2:2">
      <c r="B2804" s="172"/>
    </row>
    <row r="2805" spans="2:2">
      <c r="B2805" s="172"/>
    </row>
    <row r="2806" spans="2:2">
      <c r="B2806" s="172"/>
    </row>
    <row r="2807" spans="2:2">
      <c r="B2807" s="172"/>
    </row>
    <row r="2808" spans="2:2">
      <c r="B2808" s="172"/>
    </row>
    <row r="2809" spans="2:2">
      <c r="B2809" s="172"/>
    </row>
    <row r="2810" spans="2:2">
      <c r="B2810" s="172"/>
    </row>
    <row r="2811" spans="2:2">
      <c r="B2811" s="172"/>
    </row>
    <row r="2812" spans="2:2">
      <c r="B2812" s="172"/>
    </row>
    <row r="2813" spans="2:2">
      <c r="B2813" s="172"/>
    </row>
    <row r="2814" spans="2:2">
      <c r="B2814" s="172"/>
    </row>
    <row r="2815" spans="2:2">
      <c r="B2815" s="172"/>
    </row>
    <row r="2816" spans="2:2">
      <c r="B2816" s="172"/>
    </row>
    <row r="2817" spans="2:2">
      <c r="B2817" s="172"/>
    </row>
    <row r="2818" spans="2:2">
      <c r="B2818" s="172"/>
    </row>
    <row r="2819" spans="2:2">
      <c r="B2819" s="172"/>
    </row>
    <row r="2820" spans="2:2">
      <c r="B2820" s="172"/>
    </row>
    <row r="2821" spans="2:2">
      <c r="B2821" s="172"/>
    </row>
    <row r="2822" spans="2:2">
      <c r="B2822" s="172"/>
    </row>
    <row r="2823" spans="2:2">
      <c r="B2823" s="172"/>
    </row>
    <row r="2824" spans="2:2">
      <c r="B2824" s="172"/>
    </row>
    <row r="2825" spans="2:2">
      <c r="B2825" s="172"/>
    </row>
    <row r="2826" spans="2:2">
      <c r="B2826" s="172"/>
    </row>
    <row r="2827" spans="2:2">
      <c r="B2827" s="172"/>
    </row>
    <row r="2828" spans="2:2">
      <c r="B2828" s="172"/>
    </row>
    <row r="2829" spans="2:2">
      <c r="B2829" s="172"/>
    </row>
    <row r="2830" spans="2:2">
      <c r="B2830" s="172"/>
    </row>
    <row r="2831" spans="2:2">
      <c r="B2831" s="172"/>
    </row>
    <row r="2832" spans="2:2">
      <c r="B2832" s="172"/>
    </row>
    <row r="2833" spans="2:2">
      <c r="B2833" s="172"/>
    </row>
    <row r="2834" spans="2:2">
      <c r="B2834" s="172"/>
    </row>
    <row r="2835" spans="2:2">
      <c r="B2835" s="172"/>
    </row>
    <row r="2836" spans="2:2">
      <c r="B2836" s="172"/>
    </row>
    <row r="2837" spans="2:2">
      <c r="B2837" s="172"/>
    </row>
    <row r="2838" spans="2:2">
      <c r="B2838" s="172"/>
    </row>
    <row r="2839" spans="2:2">
      <c r="B2839" s="172"/>
    </row>
    <row r="2840" spans="2:2">
      <c r="B2840" s="172"/>
    </row>
    <row r="2841" spans="2:2">
      <c r="B2841" s="172"/>
    </row>
    <row r="2842" spans="2:2">
      <c r="B2842" s="172"/>
    </row>
    <row r="2843" spans="2:2">
      <c r="B2843" s="172"/>
    </row>
    <row r="2844" spans="2:2">
      <c r="B2844" s="172"/>
    </row>
    <row r="2845" spans="2:2">
      <c r="B2845" s="172"/>
    </row>
    <row r="2846" spans="2:2">
      <c r="B2846" s="172"/>
    </row>
    <row r="2847" spans="2:2">
      <c r="B2847" s="172"/>
    </row>
    <row r="2848" spans="2:2">
      <c r="B2848" s="172"/>
    </row>
    <row r="2849" spans="2:2">
      <c r="B2849" s="172"/>
    </row>
    <row r="2850" spans="2:2">
      <c r="B2850" s="172"/>
    </row>
    <row r="2851" spans="2:2">
      <c r="B2851" s="172"/>
    </row>
    <row r="2852" spans="2:2">
      <c r="B2852" s="172"/>
    </row>
    <row r="2853" spans="2:2">
      <c r="B2853" s="172"/>
    </row>
    <row r="2854" spans="2:2">
      <c r="B2854" s="172"/>
    </row>
    <row r="2855" spans="2:2">
      <c r="B2855" s="172"/>
    </row>
    <row r="2856" spans="2:2">
      <c r="B2856" s="172"/>
    </row>
    <row r="2857" spans="2:2">
      <c r="B2857" s="172"/>
    </row>
    <row r="2858" spans="2:2">
      <c r="B2858" s="172"/>
    </row>
    <row r="2859" spans="2:2">
      <c r="B2859" s="172"/>
    </row>
    <row r="2860" spans="2:2">
      <c r="B2860" s="172"/>
    </row>
    <row r="2861" spans="2:2">
      <c r="B2861" s="172"/>
    </row>
    <row r="2862" spans="2:2">
      <c r="B2862" s="172"/>
    </row>
    <row r="2863" spans="2:2">
      <c r="B2863" s="172"/>
    </row>
    <row r="2864" spans="2:2">
      <c r="B2864" s="172"/>
    </row>
    <row r="2865" spans="2:2">
      <c r="B2865" s="172"/>
    </row>
    <row r="2866" spans="2:2">
      <c r="B2866" s="172"/>
    </row>
    <row r="2867" spans="2:2">
      <c r="B2867" s="172"/>
    </row>
    <row r="2868" spans="2:2">
      <c r="B2868" s="172"/>
    </row>
    <row r="2869" spans="2:2">
      <c r="B2869" s="172"/>
    </row>
    <row r="2870" spans="2:2">
      <c r="B2870" s="172"/>
    </row>
    <row r="2871" spans="2:2">
      <c r="B2871" s="172"/>
    </row>
    <row r="2872" spans="2:2">
      <c r="B2872" s="172"/>
    </row>
    <row r="2873" spans="2:2">
      <c r="B2873" s="172"/>
    </row>
    <row r="2874" spans="2:2">
      <c r="B2874" s="172"/>
    </row>
    <row r="2875" spans="2:2">
      <c r="B2875" s="172"/>
    </row>
    <row r="2876" spans="2:2">
      <c r="B2876" s="172"/>
    </row>
    <row r="2877" spans="2:2">
      <c r="B2877" s="172"/>
    </row>
    <row r="2878" spans="2:2">
      <c r="B2878" s="172"/>
    </row>
    <row r="2879" spans="2:2">
      <c r="B2879" s="172"/>
    </row>
    <row r="2880" spans="2:2">
      <c r="B2880" s="172"/>
    </row>
    <row r="2881" spans="2:2">
      <c r="B2881" s="172"/>
    </row>
    <row r="2882" spans="2:2">
      <c r="B2882" s="172"/>
    </row>
    <row r="2883" spans="2:2">
      <c r="B2883" s="172"/>
    </row>
    <row r="2884" spans="2:2">
      <c r="B2884" s="172"/>
    </row>
    <row r="2885" spans="2:2">
      <c r="B2885" s="172"/>
    </row>
    <row r="2886" spans="2:2">
      <c r="B2886" s="172"/>
    </row>
    <row r="2887" spans="2:2">
      <c r="B2887" s="172"/>
    </row>
    <row r="2888" spans="2:2">
      <c r="B2888" s="172"/>
    </row>
    <row r="2889" spans="2:2">
      <c r="B2889" s="172"/>
    </row>
    <row r="2890" spans="2:2">
      <c r="B2890" s="172"/>
    </row>
    <row r="2891" spans="2:2">
      <c r="B2891" s="172"/>
    </row>
    <row r="2892" spans="2:2">
      <c r="B2892" s="172"/>
    </row>
    <row r="2893" spans="2:2">
      <c r="B2893" s="172"/>
    </row>
    <row r="2894" spans="2:2">
      <c r="B2894" s="172"/>
    </row>
    <row r="2895" spans="2:2">
      <c r="B2895" s="172"/>
    </row>
    <row r="2896" spans="2:2">
      <c r="B2896" s="172"/>
    </row>
    <row r="2897" spans="2:2">
      <c r="B2897" s="172"/>
    </row>
    <row r="2898" spans="2:2">
      <c r="B2898" s="172"/>
    </row>
    <row r="2899" spans="2:2">
      <c r="B2899" s="172"/>
    </row>
    <row r="2900" spans="2:2">
      <c r="B2900" s="172"/>
    </row>
    <row r="2901" spans="2:2">
      <c r="B2901" s="172"/>
    </row>
    <row r="2902" spans="2:2">
      <c r="B2902" s="172"/>
    </row>
    <row r="2903" spans="2:2">
      <c r="B2903" s="172"/>
    </row>
    <row r="2904" spans="2:2">
      <c r="B2904" s="172"/>
    </row>
    <row r="2905" spans="2:2">
      <c r="B2905" s="172"/>
    </row>
    <row r="2906" spans="2:2">
      <c r="B2906" s="172"/>
    </row>
    <row r="2907" spans="2:2">
      <c r="B2907" s="172"/>
    </row>
    <row r="2908" spans="2:2">
      <c r="B2908" s="172"/>
    </row>
    <row r="2909" spans="2:2">
      <c r="B2909" s="172"/>
    </row>
    <row r="2910" spans="2:2">
      <c r="B2910" s="172"/>
    </row>
    <row r="2911" spans="2:2">
      <c r="B2911" s="172"/>
    </row>
    <row r="2912" spans="2:2">
      <c r="B2912" s="172"/>
    </row>
    <row r="2913" spans="2:2">
      <c r="B2913" s="172"/>
    </row>
    <row r="2914" spans="2:2">
      <c r="B2914" s="172"/>
    </row>
    <row r="2915" spans="2:2">
      <c r="B2915" s="172"/>
    </row>
    <row r="2916" spans="2:2">
      <c r="B2916" s="172"/>
    </row>
    <row r="2917" spans="2:2">
      <c r="B2917" s="172"/>
    </row>
    <row r="2918" spans="2:2">
      <c r="B2918" s="172"/>
    </row>
    <row r="2919" spans="2:2">
      <c r="B2919" s="172"/>
    </row>
    <row r="2920" spans="2:2">
      <c r="B2920" s="172"/>
    </row>
    <row r="2921" spans="2:2">
      <c r="B2921" s="172"/>
    </row>
    <row r="2922" spans="2:2">
      <c r="B2922" s="172"/>
    </row>
    <row r="2923" spans="2:2">
      <c r="B2923" s="172"/>
    </row>
    <row r="2924" spans="2:2">
      <c r="B2924" s="172"/>
    </row>
    <row r="2925" spans="2:2">
      <c r="B2925" s="172"/>
    </row>
    <row r="2926" spans="2:2">
      <c r="B2926" s="172"/>
    </row>
    <row r="2927" spans="2:2">
      <c r="B2927" s="172"/>
    </row>
    <row r="2928" spans="2:2">
      <c r="B2928" s="172"/>
    </row>
    <row r="2929" spans="2:2">
      <c r="B2929" s="172"/>
    </row>
    <row r="2930" spans="2:2">
      <c r="B2930" s="172"/>
    </row>
    <row r="2931" spans="2:2">
      <c r="B2931" s="172"/>
    </row>
    <row r="2932" spans="2:2">
      <c r="B2932" s="172"/>
    </row>
    <row r="2933" spans="2:2">
      <c r="B2933" s="172"/>
    </row>
    <row r="2934" spans="2:2">
      <c r="B2934" s="172"/>
    </row>
    <row r="2935" spans="2:2">
      <c r="B2935" s="172"/>
    </row>
    <row r="2936" spans="2:2">
      <c r="B2936" s="172"/>
    </row>
    <row r="2937" spans="2:2">
      <c r="B2937" s="172"/>
    </row>
    <row r="2938" spans="2:2">
      <c r="B2938" s="172"/>
    </row>
    <row r="2939" spans="2:2">
      <c r="B2939" s="172"/>
    </row>
    <row r="2940" spans="2:2">
      <c r="B2940" s="172"/>
    </row>
    <row r="2941" spans="2:2">
      <c r="B2941" s="172"/>
    </row>
    <row r="2942" spans="2:2">
      <c r="B2942" s="172"/>
    </row>
    <row r="2943" spans="2:2">
      <c r="B2943" s="172"/>
    </row>
    <row r="2944" spans="2:2">
      <c r="B2944" s="172"/>
    </row>
    <row r="2945" spans="2:2">
      <c r="B2945" s="172"/>
    </row>
    <row r="2946" spans="2:2">
      <c r="B2946" s="172"/>
    </row>
    <row r="2947" spans="2:2">
      <c r="B2947" s="172"/>
    </row>
    <row r="2948" spans="2:2">
      <c r="B2948" s="172"/>
    </row>
    <row r="2949" spans="2:2">
      <c r="B2949" s="172"/>
    </row>
    <row r="2950" spans="2:2">
      <c r="B2950" s="172"/>
    </row>
    <row r="2951" spans="2:2">
      <c r="B2951" s="172"/>
    </row>
    <row r="2952" spans="2:2">
      <c r="B2952" s="172"/>
    </row>
    <row r="2953" spans="2:2">
      <c r="B2953" s="172"/>
    </row>
    <row r="2954" spans="2:2">
      <c r="B2954" s="172"/>
    </row>
    <row r="2955" spans="2:2">
      <c r="B2955" s="172"/>
    </row>
    <row r="2956" spans="2:2">
      <c r="B2956" s="172"/>
    </row>
    <row r="2957" spans="2:2">
      <c r="B2957" s="172"/>
    </row>
    <row r="2958" spans="2:2">
      <c r="B2958" s="172"/>
    </row>
    <row r="2959" spans="2:2">
      <c r="B2959" s="172"/>
    </row>
    <row r="2960" spans="2:2">
      <c r="B2960" s="172"/>
    </row>
    <row r="2961" spans="2:2">
      <c r="B2961" s="172"/>
    </row>
    <row r="2962" spans="2:2">
      <c r="B2962" s="172"/>
    </row>
    <row r="2963" spans="2:2">
      <c r="B2963" s="172"/>
    </row>
    <row r="2964" spans="2:2">
      <c r="B2964" s="172"/>
    </row>
    <row r="2965" spans="2:2">
      <c r="B2965" s="172"/>
    </row>
    <row r="2966" spans="2:2">
      <c r="B2966" s="172"/>
    </row>
    <row r="2967" spans="2:2">
      <c r="B2967" s="172"/>
    </row>
    <row r="2968" spans="2:2">
      <c r="B2968" s="172"/>
    </row>
    <row r="2969" spans="2:2">
      <c r="B2969" s="172"/>
    </row>
    <row r="2970" spans="2:2">
      <c r="B2970" s="172"/>
    </row>
    <row r="2971" spans="2:2">
      <c r="B2971" s="172"/>
    </row>
    <row r="2972" spans="2:2">
      <c r="B2972" s="172"/>
    </row>
    <row r="2973" spans="2:2">
      <c r="B2973" s="172"/>
    </row>
    <row r="2974" spans="2:2">
      <c r="B2974" s="172"/>
    </row>
    <row r="2975" spans="2:2">
      <c r="B2975" s="172"/>
    </row>
    <row r="2976" spans="2:2">
      <c r="B2976" s="172"/>
    </row>
    <row r="2977" spans="2:2">
      <c r="B2977" s="172"/>
    </row>
    <row r="2978" spans="2:2">
      <c r="B2978" s="172"/>
    </row>
    <row r="2979" spans="2:2">
      <c r="B2979" s="172"/>
    </row>
    <row r="2980" spans="2:2">
      <c r="B2980" s="172"/>
    </row>
    <row r="2981" spans="2:2">
      <c r="B2981" s="172"/>
    </row>
    <row r="2982" spans="2:2">
      <c r="B2982" s="172"/>
    </row>
    <row r="2983" spans="2:2">
      <c r="B2983" s="172"/>
    </row>
    <row r="2984" spans="2:2">
      <c r="B2984" s="172"/>
    </row>
    <row r="2985" spans="2:2">
      <c r="B2985" s="172"/>
    </row>
    <row r="2986" spans="2:2">
      <c r="B2986" s="172"/>
    </row>
    <row r="2987" spans="2:2">
      <c r="B2987" s="172"/>
    </row>
    <row r="2988" spans="2:2">
      <c r="B2988" s="172"/>
    </row>
    <row r="2989" spans="2:2">
      <c r="B2989" s="172"/>
    </row>
    <row r="2990" spans="2:2">
      <c r="B2990" s="172"/>
    </row>
    <row r="2991" spans="2:2">
      <c r="B2991" s="172"/>
    </row>
    <row r="2992" spans="2:2">
      <c r="B2992" s="172"/>
    </row>
    <row r="2993" spans="2:2">
      <c r="B2993" s="172"/>
    </row>
    <row r="2994" spans="2:2">
      <c r="B2994" s="172"/>
    </row>
    <row r="2995" spans="2:2">
      <c r="B2995" s="172"/>
    </row>
    <row r="2996" spans="2:2">
      <c r="B2996" s="172"/>
    </row>
    <row r="2997" spans="2:2">
      <c r="B2997" s="172"/>
    </row>
    <row r="2998" spans="2:2">
      <c r="B2998" s="172"/>
    </row>
    <row r="2999" spans="2:2">
      <c r="B2999" s="172"/>
    </row>
    <row r="3000" spans="2:2">
      <c r="B3000" s="172"/>
    </row>
    <row r="3001" spans="2:2">
      <c r="B3001" s="172"/>
    </row>
    <row r="3002" spans="2:2">
      <c r="B3002" s="172"/>
    </row>
    <row r="3003" spans="2:2">
      <c r="B3003" s="172"/>
    </row>
    <row r="3004" spans="2:2">
      <c r="B3004" s="172"/>
    </row>
    <row r="3005" spans="2:2">
      <c r="B3005" s="172"/>
    </row>
    <row r="3006" spans="2:2">
      <c r="B3006" s="172"/>
    </row>
    <row r="3007" spans="2:2">
      <c r="B3007" s="172"/>
    </row>
    <row r="3008" spans="2:2">
      <c r="B3008" s="172"/>
    </row>
    <row r="3009" spans="2:2">
      <c r="B3009" s="172"/>
    </row>
    <row r="3010" spans="2:2">
      <c r="B3010" s="172"/>
    </row>
    <row r="3011" spans="2:2">
      <c r="B3011" s="172"/>
    </row>
    <row r="3012" spans="2:2">
      <c r="B3012" s="172"/>
    </row>
    <row r="3013" spans="2:2">
      <c r="B3013" s="172"/>
    </row>
    <row r="3014" spans="2:2">
      <c r="B3014" s="172"/>
    </row>
    <row r="3015" spans="2:2">
      <c r="B3015" s="172"/>
    </row>
    <row r="3016" spans="2:2">
      <c r="B3016" s="172"/>
    </row>
    <row r="3017" spans="2:2">
      <c r="B3017" s="172"/>
    </row>
    <row r="3018" spans="2:2">
      <c r="B3018" s="172"/>
    </row>
    <row r="3019" spans="2:2">
      <c r="B3019" s="172"/>
    </row>
    <row r="3020" spans="2:2">
      <c r="B3020" s="172"/>
    </row>
    <row r="3021" spans="2:2">
      <c r="B3021" s="172"/>
    </row>
    <row r="3022" spans="2:2">
      <c r="B3022" s="172"/>
    </row>
    <row r="3023" spans="2:2">
      <c r="B3023" s="172"/>
    </row>
    <row r="3024" spans="2:2">
      <c r="B3024" s="172"/>
    </row>
    <row r="3025" spans="2:2">
      <c r="B3025" s="172"/>
    </row>
    <row r="3026" spans="2:2">
      <c r="B3026" s="172"/>
    </row>
    <row r="3027" spans="2:2">
      <c r="B3027" s="172"/>
    </row>
    <row r="3028" spans="2:2">
      <c r="B3028" s="172"/>
    </row>
    <row r="3029" spans="2:2">
      <c r="B3029" s="172"/>
    </row>
    <row r="3030" spans="2:2">
      <c r="B3030" s="172"/>
    </row>
    <row r="3031" spans="2:2">
      <c r="B3031" s="172"/>
    </row>
    <row r="3032" spans="2:2">
      <c r="B3032" s="172"/>
    </row>
    <row r="3033" spans="2:2">
      <c r="B3033" s="172"/>
    </row>
    <row r="3034" spans="2:2">
      <c r="B3034" s="172"/>
    </row>
    <row r="3035" spans="2:2">
      <c r="B3035" s="172"/>
    </row>
    <row r="3036" spans="2:2">
      <c r="B3036" s="172"/>
    </row>
    <row r="3037" spans="2:2">
      <c r="B3037" s="172"/>
    </row>
    <row r="3038" spans="2:2">
      <c r="B3038" s="172"/>
    </row>
    <row r="3039" spans="2:2">
      <c r="B3039" s="172"/>
    </row>
    <row r="3040" spans="2:2">
      <c r="B3040" s="172"/>
    </row>
    <row r="3041" spans="2:2">
      <c r="B3041" s="172"/>
    </row>
    <row r="3042" spans="2:2">
      <c r="B3042" s="172"/>
    </row>
    <row r="3043" spans="2:2">
      <c r="B3043" s="172"/>
    </row>
    <row r="3044" spans="2:2">
      <c r="B3044" s="172"/>
    </row>
    <row r="3045" spans="2:2">
      <c r="B3045" s="172"/>
    </row>
    <row r="3046" spans="2:2">
      <c r="B3046" s="172"/>
    </row>
    <row r="3047" spans="2:2">
      <c r="B3047" s="172"/>
    </row>
    <row r="3048" spans="2:2">
      <c r="B3048" s="172"/>
    </row>
    <row r="3049" spans="2:2">
      <c r="B3049" s="172"/>
    </row>
    <row r="3050" spans="2:2">
      <c r="B3050" s="172"/>
    </row>
    <row r="3051" spans="2:2">
      <c r="B3051" s="172"/>
    </row>
    <row r="3052" spans="2:2">
      <c r="B3052" s="172"/>
    </row>
    <row r="3053" spans="2:2">
      <c r="B3053" s="172"/>
    </row>
    <row r="3054" spans="2:2">
      <c r="B3054" s="172"/>
    </row>
    <row r="3055" spans="2:2">
      <c r="B3055" s="172"/>
    </row>
    <row r="3056" spans="2:2">
      <c r="B3056" s="172"/>
    </row>
    <row r="3057" spans="2:2">
      <c r="B3057" s="172"/>
    </row>
    <row r="3058" spans="2:2">
      <c r="B3058" s="172"/>
    </row>
    <row r="3059" spans="2:2">
      <c r="B3059" s="172"/>
    </row>
    <row r="3060" spans="2:2">
      <c r="B3060" s="172"/>
    </row>
    <row r="3061" spans="2:2">
      <c r="B3061" s="172"/>
    </row>
    <row r="3062" spans="2:2">
      <c r="B3062" s="172"/>
    </row>
    <row r="3063" spans="2:2">
      <c r="B3063" s="172"/>
    </row>
    <row r="3064" spans="2:2">
      <c r="B3064" s="172"/>
    </row>
  </sheetData>
  <mergeCells count="20">
    <mergeCell ref="C3:D3"/>
    <mergeCell ref="C4:D4"/>
    <mergeCell ref="G4:J4"/>
    <mergeCell ref="K4:L4"/>
    <mergeCell ref="E3:F3"/>
    <mergeCell ref="G3:J3"/>
    <mergeCell ref="K3:L3"/>
    <mergeCell ref="N23:Q23"/>
    <mergeCell ref="A1:R1"/>
    <mergeCell ref="A2:R2"/>
    <mergeCell ref="N21:Q21"/>
    <mergeCell ref="N22:Q22"/>
    <mergeCell ref="B5:B9"/>
    <mergeCell ref="C5:C9"/>
    <mergeCell ref="K5:L5"/>
    <mergeCell ref="P3:Q4"/>
    <mergeCell ref="E4:F4"/>
    <mergeCell ref="B3:B4"/>
    <mergeCell ref="M3:O4"/>
    <mergeCell ref="K6:L6"/>
  </mergeCells>
  <phoneticPr fontId="3" type="noConversion"/>
  <pageMargins left="0.27559055118110237" right="0" top="0.78740157480314965" bottom="0.39370078740157483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19"/>
  <sheetViews>
    <sheetView view="pageBreakPreview" zoomScale="125" zoomScaleNormal="100" zoomScaleSheetLayoutView="125" workbookViewId="0">
      <selection activeCell="M25" sqref="M25"/>
    </sheetView>
  </sheetViews>
  <sheetFormatPr defaultRowHeight="18.75"/>
  <cols>
    <col min="1" max="1" width="5.7109375" style="43" customWidth="1"/>
    <col min="2" max="2" width="12.28515625" style="43" customWidth="1"/>
    <col min="3" max="3" width="28.140625" style="43" customWidth="1"/>
    <col min="4" max="4" width="12.42578125" style="43" customWidth="1"/>
    <col min="5" max="5" width="9.42578125" style="43" customWidth="1"/>
    <col min="6" max="6" width="11.5703125" style="43" customWidth="1"/>
    <col min="7" max="7" width="10.140625" style="43" customWidth="1"/>
    <col min="8" max="8" width="12" style="43" customWidth="1"/>
    <col min="9" max="9" width="10.140625" style="43" customWidth="1"/>
    <col min="10" max="10" width="11.5703125" style="43" customWidth="1"/>
    <col min="11" max="11" width="6.85546875" style="43" customWidth="1"/>
    <col min="12" max="12" width="6.7109375" style="43" customWidth="1"/>
    <col min="13" max="16384" width="9.140625" style="43"/>
  </cols>
  <sheetData>
    <row r="1" spans="1:27">
      <c r="A1" s="324" t="s">
        <v>512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27" s="149" customFormat="1" ht="19.5">
      <c r="A2" s="333" t="s">
        <v>68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173"/>
      <c r="O2" s="173"/>
      <c r="P2" s="173"/>
      <c r="Q2" s="173"/>
      <c r="R2" s="173"/>
      <c r="S2" s="39"/>
      <c r="T2" s="39"/>
    </row>
    <row r="3" spans="1:27" ht="20.25">
      <c r="I3" s="174" t="s">
        <v>165</v>
      </c>
      <c r="J3" s="43" t="s">
        <v>513</v>
      </c>
      <c r="N3" s="39"/>
      <c r="O3" s="39"/>
      <c r="P3" s="39"/>
      <c r="Q3" s="39"/>
      <c r="R3" s="39"/>
    </row>
    <row r="4" spans="1:27">
      <c r="A4" s="91"/>
      <c r="B4" s="378" t="s">
        <v>170</v>
      </c>
      <c r="C4" s="394" t="s">
        <v>174</v>
      </c>
      <c r="D4" s="394"/>
      <c r="E4" s="378" t="s">
        <v>173</v>
      </c>
      <c r="F4" s="378"/>
      <c r="G4" s="378"/>
      <c r="H4" s="378"/>
      <c r="I4" s="378" t="s">
        <v>201</v>
      </c>
      <c r="J4" s="378"/>
      <c r="K4" s="92" t="s">
        <v>202</v>
      </c>
      <c r="L4" s="92" t="s">
        <v>203</v>
      </c>
      <c r="M4" s="378" t="s">
        <v>91</v>
      </c>
    </row>
    <row r="5" spans="1:27">
      <c r="A5" s="93"/>
      <c r="B5" s="380"/>
      <c r="C5" s="395" t="s">
        <v>177</v>
      </c>
      <c r="D5" s="395"/>
      <c r="E5" s="380"/>
      <c r="F5" s="380"/>
      <c r="G5" s="380"/>
      <c r="H5" s="380"/>
      <c r="I5" s="380"/>
      <c r="J5" s="380"/>
      <c r="K5" s="94" t="s">
        <v>204</v>
      </c>
      <c r="L5" s="94" t="s">
        <v>202</v>
      </c>
      <c r="M5" s="379"/>
    </row>
    <row r="6" spans="1:27">
      <c r="A6" s="94" t="s">
        <v>83</v>
      </c>
      <c r="B6" s="379" t="s">
        <v>171</v>
      </c>
      <c r="C6" s="379" t="s">
        <v>150</v>
      </c>
      <c r="D6" s="93"/>
      <c r="E6" s="94" t="s">
        <v>205</v>
      </c>
      <c r="F6" s="94" t="s">
        <v>182</v>
      </c>
      <c r="G6" s="94" t="s">
        <v>193</v>
      </c>
      <c r="H6" s="94" t="s">
        <v>206</v>
      </c>
      <c r="I6" s="94" t="s">
        <v>207</v>
      </c>
      <c r="J6" s="94" t="s">
        <v>184</v>
      </c>
      <c r="K6" s="94" t="s">
        <v>208</v>
      </c>
      <c r="L6" s="94" t="s">
        <v>204</v>
      </c>
      <c r="M6" s="379"/>
    </row>
    <row r="7" spans="1:27">
      <c r="A7" s="94" t="s">
        <v>185</v>
      </c>
      <c r="B7" s="379"/>
      <c r="C7" s="379"/>
      <c r="D7" s="94" t="s">
        <v>186</v>
      </c>
      <c r="E7" s="94" t="s">
        <v>209</v>
      </c>
      <c r="F7" s="94" t="s">
        <v>210</v>
      </c>
      <c r="G7" s="94" t="s">
        <v>142</v>
      </c>
      <c r="H7" s="94" t="s">
        <v>211</v>
      </c>
      <c r="I7" s="94" t="s">
        <v>85</v>
      </c>
      <c r="J7" s="94" t="s">
        <v>85</v>
      </c>
      <c r="K7" s="94" t="s">
        <v>212</v>
      </c>
      <c r="L7" s="94" t="s">
        <v>208</v>
      </c>
      <c r="M7" s="379"/>
    </row>
    <row r="8" spans="1:27">
      <c r="A8" s="93"/>
      <c r="B8" s="379"/>
      <c r="C8" s="379"/>
      <c r="D8" s="94" t="s">
        <v>194</v>
      </c>
      <c r="E8" s="94"/>
      <c r="F8" s="94" t="s">
        <v>190</v>
      </c>
      <c r="G8" s="94" t="s">
        <v>211</v>
      </c>
      <c r="H8" s="94"/>
      <c r="I8" s="94" t="s">
        <v>199</v>
      </c>
      <c r="J8" s="94" t="s">
        <v>197</v>
      </c>
      <c r="K8" s="94"/>
      <c r="L8" s="94" t="s">
        <v>212</v>
      </c>
      <c r="M8" s="379"/>
    </row>
    <row r="9" spans="1:27">
      <c r="A9" s="95"/>
      <c r="B9" s="380"/>
      <c r="C9" s="380"/>
      <c r="D9" s="95"/>
      <c r="E9" s="175"/>
      <c r="F9" s="175" t="s">
        <v>211</v>
      </c>
      <c r="G9" s="175"/>
      <c r="H9" s="175"/>
      <c r="I9" s="175"/>
      <c r="J9" s="175" t="s">
        <v>199</v>
      </c>
      <c r="K9" s="175"/>
      <c r="L9" s="175"/>
      <c r="M9" s="380"/>
    </row>
    <row r="10" spans="1:27" s="3" customFormat="1" ht="56.25">
      <c r="A10" s="74">
        <v>1</v>
      </c>
      <c r="B10" s="8" t="s">
        <v>346</v>
      </c>
      <c r="C10" s="211" t="s">
        <v>493</v>
      </c>
      <c r="D10" s="212" t="s">
        <v>411</v>
      </c>
      <c r="E10" s="33" t="s">
        <v>391</v>
      </c>
      <c r="F10" s="229">
        <v>240967</v>
      </c>
      <c r="G10" s="229">
        <v>241021</v>
      </c>
      <c r="H10" s="229">
        <v>241130</v>
      </c>
      <c r="I10" s="229" t="s">
        <v>92</v>
      </c>
      <c r="J10" s="230">
        <v>1.196042</v>
      </c>
      <c r="K10" s="8" t="s">
        <v>125</v>
      </c>
      <c r="L10" s="8"/>
      <c r="M10" s="19"/>
    </row>
    <row r="11" spans="1:27" ht="56.25">
      <c r="A11" s="74">
        <v>2</v>
      </c>
      <c r="B11" s="8" t="s">
        <v>346</v>
      </c>
      <c r="C11" s="80" t="s">
        <v>494</v>
      </c>
      <c r="D11" s="212" t="s">
        <v>411</v>
      </c>
      <c r="E11" s="33" t="s">
        <v>391</v>
      </c>
      <c r="F11" s="229">
        <v>240967</v>
      </c>
      <c r="G11" s="229">
        <v>241021</v>
      </c>
      <c r="H11" s="229">
        <v>241142</v>
      </c>
      <c r="I11" s="229" t="s">
        <v>92</v>
      </c>
      <c r="J11" s="230">
        <v>1.1570419999999999</v>
      </c>
      <c r="K11" s="8" t="s">
        <v>125</v>
      </c>
      <c r="L11" s="8"/>
      <c r="M11" s="19"/>
    </row>
    <row r="12" spans="1:27" ht="37.5">
      <c r="A12" s="74">
        <v>3</v>
      </c>
      <c r="B12" s="8" t="s">
        <v>663</v>
      </c>
      <c r="C12" s="19" t="s">
        <v>661</v>
      </c>
      <c r="D12" s="212" t="s">
        <v>662</v>
      </c>
      <c r="E12" s="33" t="s">
        <v>93</v>
      </c>
      <c r="F12" s="229" t="s">
        <v>92</v>
      </c>
      <c r="G12" s="229">
        <v>240997</v>
      </c>
      <c r="H12" s="229">
        <v>241004</v>
      </c>
      <c r="I12" s="8">
        <v>0.12</v>
      </c>
      <c r="J12" s="229" t="s">
        <v>92</v>
      </c>
      <c r="K12" s="8" t="s">
        <v>125</v>
      </c>
      <c r="L12" s="8"/>
      <c r="M12" s="19"/>
    </row>
    <row r="16" spans="1:27" s="49" customFormat="1" ht="15.75">
      <c r="A16" s="44"/>
      <c r="B16" s="45" t="s">
        <v>71</v>
      </c>
      <c r="C16" s="46"/>
      <c r="D16" s="45"/>
      <c r="E16" s="47"/>
      <c r="F16" s="47" t="s">
        <v>72</v>
      </c>
      <c r="G16" s="47"/>
      <c r="H16" s="47"/>
      <c r="I16" s="335" t="s">
        <v>76</v>
      </c>
      <c r="J16" s="335"/>
      <c r="K16" s="335"/>
      <c r="L16" s="335"/>
      <c r="M16" s="47"/>
      <c r="R16" s="51"/>
      <c r="S16" s="52"/>
      <c r="T16" s="53"/>
      <c r="U16" s="51"/>
      <c r="V16" s="51"/>
      <c r="W16" s="51"/>
      <c r="X16" s="51"/>
      <c r="Y16" s="51"/>
      <c r="Z16" s="51"/>
      <c r="AA16" s="51"/>
    </row>
    <row r="17" spans="1:27" s="49" customFormat="1" ht="15.75">
      <c r="A17" s="44"/>
      <c r="B17" s="45" t="s">
        <v>647</v>
      </c>
      <c r="C17" s="46"/>
      <c r="D17" s="45"/>
      <c r="E17" s="47"/>
      <c r="F17" s="47" t="s">
        <v>75</v>
      </c>
      <c r="G17" s="47"/>
      <c r="H17" s="47"/>
      <c r="I17" s="335" t="s">
        <v>69</v>
      </c>
      <c r="J17" s="335"/>
      <c r="K17" s="335"/>
      <c r="L17" s="335"/>
      <c r="M17" s="47"/>
      <c r="R17" s="51"/>
      <c r="S17" s="52"/>
      <c r="T17" s="53"/>
      <c r="U17" s="51"/>
      <c r="V17" s="51"/>
      <c r="W17" s="51"/>
      <c r="X17" s="51"/>
      <c r="Y17" s="51"/>
      <c r="Z17" s="51"/>
      <c r="AA17" s="51"/>
    </row>
    <row r="18" spans="1:27" s="49" customFormat="1" ht="15.75">
      <c r="A18" s="54"/>
      <c r="B18" s="45" t="s">
        <v>664</v>
      </c>
      <c r="C18" s="52"/>
      <c r="D18" s="45"/>
      <c r="F18" s="48" t="s">
        <v>74</v>
      </c>
      <c r="I18" s="335" t="s">
        <v>70</v>
      </c>
      <c r="J18" s="335"/>
      <c r="K18" s="335"/>
      <c r="L18" s="335"/>
      <c r="R18" s="54"/>
      <c r="S18" s="52"/>
      <c r="T18" s="53"/>
    </row>
    <row r="19" spans="1:27" s="54" customFormat="1" ht="15.75">
      <c r="B19" s="54" t="s">
        <v>345</v>
      </c>
    </row>
  </sheetData>
  <mergeCells count="13">
    <mergeCell ref="C6:C9"/>
    <mergeCell ref="I16:L16"/>
    <mergeCell ref="I17:L17"/>
    <mergeCell ref="I18:L18"/>
    <mergeCell ref="A1:M1"/>
    <mergeCell ref="A2:M2"/>
    <mergeCell ref="B4:B5"/>
    <mergeCell ref="C4:D4"/>
    <mergeCell ref="E4:H5"/>
    <mergeCell ref="I4:J5"/>
    <mergeCell ref="M4:M9"/>
    <mergeCell ref="C5:D5"/>
    <mergeCell ref="B6:B9"/>
  </mergeCells>
  <phoneticPr fontId="3" type="noConversion"/>
  <pageMargins left="0.23622047244094491" right="0" top="0.78740157480314965" bottom="0.39370078740157483" header="0.51181102362204722" footer="0.51181102362204722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18"/>
  <sheetViews>
    <sheetView view="pageBreakPreview" zoomScale="125" zoomScaleNormal="125" zoomScaleSheetLayoutView="125" workbookViewId="0">
      <selection activeCell="K13" sqref="K13"/>
    </sheetView>
  </sheetViews>
  <sheetFormatPr defaultRowHeight="18.75"/>
  <cols>
    <col min="1" max="1" width="5.7109375" style="43" customWidth="1"/>
    <col min="2" max="2" width="12.28515625" style="43" customWidth="1"/>
    <col min="3" max="3" width="28.140625" style="43" customWidth="1"/>
    <col min="4" max="4" width="12.42578125" style="43" customWidth="1"/>
    <col min="5" max="5" width="9.42578125" style="43" customWidth="1"/>
    <col min="6" max="6" width="11.5703125" style="43" customWidth="1"/>
    <col min="7" max="7" width="10.140625" style="43" customWidth="1"/>
    <col min="8" max="8" width="12" style="43" customWidth="1"/>
    <col min="9" max="9" width="10.140625" style="43" customWidth="1"/>
    <col min="10" max="10" width="11.5703125" style="43" customWidth="1"/>
    <col min="11" max="11" width="6.85546875" style="43" customWidth="1"/>
    <col min="12" max="12" width="6.7109375" style="43" customWidth="1"/>
    <col min="13" max="16384" width="9.140625" style="43"/>
  </cols>
  <sheetData>
    <row r="1" spans="1:27">
      <c r="A1" s="324" t="s">
        <v>515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27" s="149" customFormat="1" ht="19.5">
      <c r="A2" s="333" t="s">
        <v>68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173"/>
      <c r="O2" s="173"/>
      <c r="P2" s="173"/>
      <c r="Q2" s="173"/>
      <c r="R2" s="173"/>
      <c r="S2" s="39"/>
      <c r="T2" s="39"/>
    </row>
    <row r="3" spans="1:27" ht="20.25">
      <c r="I3" s="174" t="s">
        <v>165</v>
      </c>
      <c r="J3" s="43" t="s">
        <v>514</v>
      </c>
      <c r="N3" s="39"/>
      <c r="O3" s="39"/>
      <c r="P3" s="39"/>
      <c r="Q3" s="39"/>
      <c r="R3" s="39"/>
    </row>
    <row r="4" spans="1:27">
      <c r="A4" s="91"/>
      <c r="B4" s="378" t="s">
        <v>170</v>
      </c>
      <c r="C4" s="394" t="s">
        <v>174</v>
      </c>
      <c r="D4" s="394"/>
      <c r="E4" s="378" t="s">
        <v>173</v>
      </c>
      <c r="F4" s="378"/>
      <c r="G4" s="378"/>
      <c r="H4" s="378"/>
      <c r="I4" s="378" t="s">
        <v>201</v>
      </c>
      <c r="J4" s="378"/>
      <c r="K4" s="92" t="s">
        <v>202</v>
      </c>
      <c r="L4" s="92" t="s">
        <v>203</v>
      </c>
      <c r="M4" s="378" t="s">
        <v>91</v>
      </c>
    </row>
    <row r="5" spans="1:27">
      <c r="A5" s="93"/>
      <c r="B5" s="380"/>
      <c r="C5" s="395" t="s">
        <v>177</v>
      </c>
      <c r="D5" s="395"/>
      <c r="E5" s="380"/>
      <c r="F5" s="380"/>
      <c r="G5" s="380"/>
      <c r="H5" s="380"/>
      <c r="I5" s="380"/>
      <c r="J5" s="380"/>
      <c r="K5" s="94" t="s">
        <v>204</v>
      </c>
      <c r="L5" s="94" t="s">
        <v>202</v>
      </c>
      <c r="M5" s="379"/>
    </row>
    <row r="6" spans="1:27">
      <c r="A6" s="94" t="s">
        <v>83</v>
      </c>
      <c r="B6" s="379" t="s">
        <v>171</v>
      </c>
      <c r="C6" s="379" t="s">
        <v>150</v>
      </c>
      <c r="D6" s="93"/>
      <c r="E6" s="94" t="s">
        <v>205</v>
      </c>
      <c r="F6" s="94" t="s">
        <v>182</v>
      </c>
      <c r="G6" s="94" t="s">
        <v>193</v>
      </c>
      <c r="H6" s="94" t="s">
        <v>206</v>
      </c>
      <c r="I6" s="94" t="s">
        <v>207</v>
      </c>
      <c r="J6" s="94" t="s">
        <v>184</v>
      </c>
      <c r="K6" s="94" t="s">
        <v>208</v>
      </c>
      <c r="L6" s="94" t="s">
        <v>204</v>
      </c>
      <c r="M6" s="379"/>
    </row>
    <row r="7" spans="1:27">
      <c r="A7" s="94" t="s">
        <v>185</v>
      </c>
      <c r="B7" s="379"/>
      <c r="C7" s="379"/>
      <c r="D7" s="94" t="s">
        <v>186</v>
      </c>
      <c r="E7" s="94" t="s">
        <v>209</v>
      </c>
      <c r="F7" s="94" t="s">
        <v>210</v>
      </c>
      <c r="G7" s="94" t="s">
        <v>142</v>
      </c>
      <c r="H7" s="94" t="s">
        <v>211</v>
      </c>
      <c r="I7" s="94" t="s">
        <v>85</v>
      </c>
      <c r="J7" s="94" t="s">
        <v>85</v>
      </c>
      <c r="K7" s="94" t="s">
        <v>212</v>
      </c>
      <c r="L7" s="94" t="s">
        <v>208</v>
      </c>
      <c r="M7" s="379"/>
    </row>
    <row r="8" spans="1:27">
      <c r="A8" s="93"/>
      <c r="B8" s="379"/>
      <c r="C8" s="379"/>
      <c r="D8" s="94" t="s">
        <v>194</v>
      </c>
      <c r="E8" s="94"/>
      <c r="F8" s="94" t="s">
        <v>190</v>
      </c>
      <c r="G8" s="94" t="s">
        <v>211</v>
      </c>
      <c r="H8" s="94"/>
      <c r="I8" s="94" t="s">
        <v>199</v>
      </c>
      <c r="J8" s="94" t="s">
        <v>197</v>
      </c>
      <c r="K8" s="94"/>
      <c r="L8" s="94" t="s">
        <v>212</v>
      </c>
      <c r="M8" s="379"/>
    </row>
    <row r="9" spans="1:27">
      <c r="A9" s="95"/>
      <c r="B9" s="380"/>
      <c r="C9" s="380"/>
      <c r="D9" s="95"/>
      <c r="E9" s="175"/>
      <c r="F9" s="175" t="s">
        <v>211</v>
      </c>
      <c r="G9" s="175"/>
      <c r="H9" s="175"/>
      <c r="I9" s="175"/>
      <c r="J9" s="175" t="s">
        <v>199</v>
      </c>
      <c r="K9" s="175"/>
      <c r="L9" s="175"/>
      <c r="M9" s="380"/>
    </row>
    <row r="10" spans="1:27" s="3" customFormat="1" ht="56.25">
      <c r="A10" s="74">
        <v>1</v>
      </c>
      <c r="B10" s="8" t="s">
        <v>346</v>
      </c>
      <c r="C10" s="211" t="s">
        <v>493</v>
      </c>
      <c r="D10" s="212" t="s">
        <v>411</v>
      </c>
      <c r="E10" s="33" t="s">
        <v>391</v>
      </c>
      <c r="F10" s="229">
        <v>240967</v>
      </c>
      <c r="G10" s="229">
        <v>241021</v>
      </c>
      <c r="H10" s="229">
        <v>241200</v>
      </c>
      <c r="I10" s="229" t="s">
        <v>92</v>
      </c>
      <c r="J10" s="230">
        <v>2.4250419999999999</v>
      </c>
      <c r="K10" s="8" t="s">
        <v>125</v>
      </c>
      <c r="L10" s="8"/>
      <c r="M10" s="19"/>
    </row>
    <row r="11" spans="1:27" s="3" customFormat="1" ht="56.25">
      <c r="A11" s="74">
        <v>2</v>
      </c>
      <c r="B11" s="8" t="s">
        <v>346</v>
      </c>
      <c r="C11" s="80" t="s">
        <v>494</v>
      </c>
      <c r="D11" s="212" t="s">
        <v>411</v>
      </c>
      <c r="E11" s="33" t="s">
        <v>391</v>
      </c>
      <c r="F11" s="229">
        <v>240967</v>
      </c>
      <c r="G11" s="229">
        <v>241021</v>
      </c>
      <c r="H11" s="229">
        <v>241205</v>
      </c>
      <c r="I11" s="229" t="s">
        <v>92</v>
      </c>
      <c r="J11" s="230">
        <v>2.3470420000000001</v>
      </c>
      <c r="K11" s="8" t="s">
        <v>125</v>
      </c>
      <c r="L11" s="8"/>
      <c r="M11" s="19"/>
    </row>
    <row r="15" spans="1:27" s="49" customFormat="1" ht="15.75">
      <c r="A15" s="44"/>
      <c r="B15" s="45" t="s">
        <v>71</v>
      </c>
      <c r="C15" s="46"/>
      <c r="D15" s="45"/>
      <c r="E15" s="47"/>
      <c r="F15" s="47" t="s">
        <v>72</v>
      </c>
      <c r="G15" s="47"/>
      <c r="H15" s="47"/>
      <c r="I15" s="335" t="s">
        <v>76</v>
      </c>
      <c r="J15" s="335"/>
      <c r="K15" s="335"/>
      <c r="L15" s="335"/>
      <c r="M15" s="47"/>
      <c r="R15" s="51"/>
      <c r="S15" s="52"/>
      <c r="T15" s="53"/>
      <c r="U15" s="51"/>
      <c r="V15" s="51"/>
      <c r="W15" s="51"/>
      <c r="X15" s="51"/>
      <c r="Y15" s="51"/>
      <c r="Z15" s="51"/>
      <c r="AA15" s="51"/>
    </row>
    <row r="16" spans="1:27" s="49" customFormat="1" ht="15.75">
      <c r="A16" s="44"/>
      <c r="B16" s="45" t="s">
        <v>647</v>
      </c>
      <c r="C16" s="46"/>
      <c r="D16" s="45"/>
      <c r="E16" s="47"/>
      <c r="F16" s="47" t="s">
        <v>75</v>
      </c>
      <c r="G16" s="47"/>
      <c r="H16" s="47"/>
      <c r="I16" s="335" t="s">
        <v>69</v>
      </c>
      <c r="J16" s="335"/>
      <c r="K16" s="335"/>
      <c r="L16" s="335"/>
      <c r="M16" s="47"/>
      <c r="R16" s="51"/>
      <c r="S16" s="52"/>
      <c r="T16" s="53"/>
      <c r="U16" s="51"/>
      <c r="V16" s="51"/>
      <c r="W16" s="51"/>
      <c r="X16" s="51"/>
      <c r="Y16" s="51"/>
      <c r="Z16" s="51"/>
      <c r="AA16" s="51"/>
    </row>
    <row r="17" spans="1:20" s="49" customFormat="1" ht="15.75">
      <c r="A17" s="54"/>
      <c r="B17" s="45" t="s">
        <v>664</v>
      </c>
      <c r="C17" s="52"/>
      <c r="D17" s="45"/>
      <c r="F17" s="48" t="s">
        <v>74</v>
      </c>
      <c r="I17" s="335" t="s">
        <v>70</v>
      </c>
      <c r="J17" s="335"/>
      <c r="K17" s="335"/>
      <c r="L17" s="335"/>
      <c r="R17" s="54"/>
      <c r="S17" s="52"/>
      <c r="T17" s="53"/>
    </row>
    <row r="18" spans="1:20" s="54" customFormat="1" ht="15.75"/>
  </sheetData>
  <mergeCells count="13">
    <mergeCell ref="I16:L16"/>
    <mergeCell ref="I17:L17"/>
    <mergeCell ref="A1:M1"/>
    <mergeCell ref="A2:M2"/>
    <mergeCell ref="B4:B5"/>
    <mergeCell ref="C4:D4"/>
    <mergeCell ref="E4:H5"/>
    <mergeCell ref="I4:J5"/>
    <mergeCell ref="M4:M9"/>
    <mergeCell ref="C5:D5"/>
    <mergeCell ref="B6:B9"/>
    <mergeCell ref="C6:C9"/>
    <mergeCell ref="I15:L15"/>
  </mergeCells>
  <phoneticPr fontId="3" type="noConversion"/>
  <pageMargins left="0.19685039370078741" right="0" top="0.78740157480314965" bottom="0.39370078740157483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Normal="125" zoomScaleSheetLayoutView="100" workbookViewId="0">
      <selection activeCell="D6" sqref="D6:J19"/>
    </sheetView>
  </sheetViews>
  <sheetFormatPr defaultRowHeight="18.75"/>
  <cols>
    <col min="1" max="1" width="5.28515625" style="3" customWidth="1"/>
    <col min="2" max="2" width="13.7109375" style="3" customWidth="1"/>
    <col min="3" max="3" width="30.7109375" style="3" customWidth="1"/>
    <col min="4" max="4" width="26.140625" style="3" customWidth="1"/>
    <col min="5" max="5" width="12.7109375" style="23" customWidth="1"/>
    <col min="6" max="6" width="7.7109375" style="3" customWidth="1"/>
    <col min="7" max="7" width="10.140625" style="3" customWidth="1"/>
    <col min="8" max="8" width="8.5703125" style="3" customWidth="1"/>
    <col min="9" max="9" width="8" style="3" customWidth="1"/>
    <col min="10" max="10" width="14.85546875" style="3" customWidth="1"/>
    <col min="11" max="16384" width="9.140625" style="3"/>
  </cols>
  <sheetData>
    <row r="1" spans="1:10">
      <c r="J1" s="5" t="s">
        <v>162</v>
      </c>
    </row>
    <row r="2" spans="1:10">
      <c r="A2" s="315" t="s">
        <v>423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0">
      <c r="A3" s="316" t="s">
        <v>351</v>
      </c>
      <c r="B3" s="316"/>
      <c r="C3" s="316"/>
      <c r="D3" s="316"/>
      <c r="E3" s="316"/>
      <c r="F3" s="316"/>
      <c r="G3" s="316"/>
      <c r="H3" s="316"/>
      <c r="I3" s="316"/>
      <c r="J3" s="316"/>
    </row>
    <row r="4" spans="1:10" ht="19.5" customHeight="1">
      <c r="A4" s="313" t="s">
        <v>116</v>
      </c>
      <c r="B4" s="313" t="s">
        <v>160</v>
      </c>
      <c r="C4" s="313" t="s">
        <v>84</v>
      </c>
      <c r="D4" s="317" t="s">
        <v>85</v>
      </c>
      <c r="E4" s="318"/>
      <c r="F4" s="317" t="s">
        <v>88</v>
      </c>
      <c r="G4" s="319"/>
      <c r="H4" s="313" t="s">
        <v>90</v>
      </c>
      <c r="I4" s="313" t="s">
        <v>163</v>
      </c>
      <c r="J4" s="313" t="s">
        <v>91</v>
      </c>
    </row>
    <row r="5" spans="1:10" ht="41.25" customHeight="1">
      <c r="A5" s="314"/>
      <c r="B5" s="314"/>
      <c r="C5" s="314"/>
      <c r="D5" s="8" t="s">
        <v>86</v>
      </c>
      <c r="E5" s="9" t="s">
        <v>87</v>
      </c>
      <c r="F5" s="8" t="s">
        <v>89</v>
      </c>
      <c r="G5" s="10" t="s">
        <v>87</v>
      </c>
      <c r="H5" s="314"/>
      <c r="I5" s="314"/>
      <c r="J5" s="314"/>
    </row>
    <row r="6" spans="1:10" ht="18.75" customHeight="1">
      <c r="A6" s="6"/>
      <c r="B6" s="7"/>
      <c r="C6" s="21" t="s">
        <v>352</v>
      </c>
      <c r="D6" s="7"/>
      <c r="E6" s="249"/>
      <c r="F6" s="7"/>
      <c r="G6" s="7"/>
      <c r="H6" s="7"/>
      <c r="I6" s="7"/>
      <c r="J6" s="14"/>
    </row>
    <row r="7" spans="1:10" ht="56.25">
      <c r="A7" s="250">
        <v>1</v>
      </c>
      <c r="B7" s="8" t="s">
        <v>425</v>
      </c>
      <c r="C7" s="16" t="s">
        <v>227</v>
      </c>
      <c r="D7" s="8" t="s">
        <v>361</v>
      </c>
      <c r="E7" s="18">
        <v>10000</v>
      </c>
      <c r="F7" s="8"/>
      <c r="G7" s="7"/>
      <c r="H7" s="8" t="s">
        <v>93</v>
      </c>
      <c r="I7" s="13" t="s">
        <v>424</v>
      </c>
      <c r="J7" s="14" t="s">
        <v>77</v>
      </c>
    </row>
    <row r="8" spans="1:10" ht="56.25">
      <c r="A8" s="250">
        <v>2</v>
      </c>
      <c r="B8" s="8" t="s">
        <v>432</v>
      </c>
      <c r="C8" s="16" t="s">
        <v>433</v>
      </c>
      <c r="D8" s="8" t="s">
        <v>361</v>
      </c>
      <c r="E8" s="18">
        <v>100000</v>
      </c>
      <c r="F8" s="8"/>
      <c r="G8" s="7"/>
      <c r="H8" s="8" t="s">
        <v>93</v>
      </c>
      <c r="I8" s="13" t="s">
        <v>424</v>
      </c>
      <c r="J8" s="14"/>
    </row>
    <row r="9" spans="1:10" ht="56.25">
      <c r="A9" s="22">
        <v>3</v>
      </c>
      <c r="B9" s="8" t="s">
        <v>425</v>
      </c>
      <c r="C9" s="16" t="s">
        <v>434</v>
      </c>
      <c r="D9" s="8" t="s">
        <v>361</v>
      </c>
      <c r="E9" s="17">
        <v>263400</v>
      </c>
      <c r="F9" s="8"/>
      <c r="G9" s="7"/>
      <c r="H9" s="8" t="s">
        <v>93</v>
      </c>
      <c r="I9" s="13" t="s">
        <v>424</v>
      </c>
      <c r="J9" s="14" t="s">
        <v>77</v>
      </c>
    </row>
    <row r="10" spans="1:10" ht="56.25">
      <c r="A10" s="74">
        <v>4</v>
      </c>
      <c r="B10" s="8" t="s">
        <v>432</v>
      </c>
      <c r="C10" s="19" t="s">
        <v>435</v>
      </c>
      <c r="D10" s="8" t="s">
        <v>361</v>
      </c>
      <c r="E10" s="29">
        <v>130000</v>
      </c>
      <c r="F10" s="8"/>
      <c r="G10" s="8"/>
      <c r="H10" s="8" t="s">
        <v>93</v>
      </c>
      <c r="I10" s="74" t="s">
        <v>424</v>
      </c>
      <c r="J10" s="14" t="s">
        <v>77</v>
      </c>
    </row>
    <row r="11" spans="1:10">
      <c r="A11" s="22"/>
      <c r="B11" s="7"/>
      <c r="C11" s="21" t="s">
        <v>354</v>
      </c>
      <c r="D11" s="7"/>
      <c r="E11" s="17"/>
      <c r="F11" s="7"/>
      <c r="G11" s="7"/>
      <c r="H11" s="7"/>
      <c r="I11" s="252"/>
      <c r="J11" s="14"/>
    </row>
    <row r="12" spans="1:10" ht="56.25">
      <c r="A12" s="22">
        <v>5</v>
      </c>
      <c r="B12" s="8" t="s">
        <v>425</v>
      </c>
      <c r="C12" s="16" t="s">
        <v>101</v>
      </c>
      <c r="D12" s="8" t="s">
        <v>361</v>
      </c>
      <c r="E12" s="17">
        <v>100000</v>
      </c>
      <c r="F12" s="8"/>
      <c r="G12" s="7"/>
      <c r="H12" s="8" t="s">
        <v>93</v>
      </c>
      <c r="I12" s="13" t="s">
        <v>424</v>
      </c>
      <c r="J12" s="14" t="s">
        <v>77</v>
      </c>
    </row>
    <row r="13" spans="1:10" ht="56.25">
      <c r="A13" s="22">
        <v>6</v>
      </c>
      <c r="B13" s="8" t="s">
        <v>425</v>
      </c>
      <c r="C13" s="16" t="s">
        <v>98</v>
      </c>
      <c r="D13" s="8" t="s">
        <v>361</v>
      </c>
      <c r="E13" s="17">
        <v>247000</v>
      </c>
      <c r="F13" s="8"/>
      <c r="G13" s="7"/>
      <c r="H13" s="8" t="s">
        <v>93</v>
      </c>
      <c r="I13" s="13" t="s">
        <v>424</v>
      </c>
      <c r="J13" s="14" t="s">
        <v>77</v>
      </c>
    </row>
    <row r="14" spans="1:10" ht="56.25">
      <c r="A14" s="22">
        <v>7</v>
      </c>
      <c r="B14" s="8" t="s">
        <v>425</v>
      </c>
      <c r="C14" s="16" t="s">
        <v>99</v>
      </c>
      <c r="D14" s="8" t="s">
        <v>361</v>
      </c>
      <c r="E14" s="17">
        <v>50000</v>
      </c>
      <c r="F14" s="8"/>
      <c r="G14" s="7"/>
      <c r="H14" s="8" t="s">
        <v>93</v>
      </c>
      <c r="I14" s="13" t="s">
        <v>424</v>
      </c>
      <c r="J14" s="14" t="s">
        <v>77</v>
      </c>
    </row>
    <row r="15" spans="1:10">
      <c r="A15" s="22"/>
      <c r="B15" s="7"/>
      <c r="C15" s="21" t="s">
        <v>362</v>
      </c>
      <c r="D15" s="7"/>
      <c r="E15" s="17"/>
      <c r="F15" s="7"/>
      <c r="G15" s="7"/>
      <c r="H15" s="7"/>
      <c r="I15" s="252"/>
      <c r="J15" s="14"/>
    </row>
    <row r="16" spans="1:10" ht="56.25">
      <c r="A16" s="22">
        <v>8</v>
      </c>
      <c r="B16" s="8" t="s">
        <v>425</v>
      </c>
      <c r="C16" s="16" t="s">
        <v>436</v>
      </c>
      <c r="D16" s="8" t="s">
        <v>361</v>
      </c>
      <c r="E16" s="17">
        <v>16000</v>
      </c>
      <c r="F16" s="8"/>
      <c r="G16" s="7"/>
      <c r="H16" s="8" t="s">
        <v>93</v>
      </c>
      <c r="I16" s="13" t="s">
        <v>424</v>
      </c>
      <c r="J16" s="14"/>
    </row>
    <row r="17" spans="1:10" ht="56.25">
      <c r="A17" s="22">
        <v>9</v>
      </c>
      <c r="B17" s="8" t="s">
        <v>425</v>
      </c>
      <c r="C17" s="16" t="s">
        <v>431</v>
      </c>
      <c r="D17" s="8" t="s">
        <v>361</v>
      </c>
      <c r="E17" s="17">
        <v>3200</v>
      </c>
      <c r="F17" s="8"/>
      <c r="G17" s="7"/>
      <c r="H17" s="8" t="s">
        <v>93</v>
      </c>
      <c r="I17" s="13" t="s">
        <v>424</v>
      </c>
      <c r="J17" s="14"/>
    </row>
    <row r="18" spans="1:10" ht="56.25">
      <c r="A18" s="22">
        <v>10</v>
      </c>
      <c r="B18" s="8" t="s">
        <v>425</v>
      </c>
      <c r="C18" s="16" t="s">
        <v>437</v>
      </c>
      <c r="D18" s="8" t="s">
        <v>361</v>
      </c>
      <c r="E18" s="17">
        <v>4300</v>
      </c>
      <c r="F18" s="8"/>
      <c r="G18" s="7"/>
      <c r="H18" s="8" t="s">
        <v>93</v>
      </c>
      <c r="I18" s="13" t="s">
        <v>424</v>
      </c>
      <c r="J18" s="14"/>
    </row>
    <row r="19" spans="1:10" ht="56.25">
      <c r="A19" s="22">
        <v>11</v>
      </c>
      <c r="B19" s="8" t="s">
        <v>432</v>
      </c>
      <c r="C19" s="19" t="s">
        <v>438</v>
      </c>
      <c r="D19" s="8" t="s">
        <v>361</v>
      </c>
      <c r="E19" s="29">
        <v>50000</v>
      </c>
      <c r="F19" s="19"/>
      <c r="G19" s="19"/>
      <c r="H19" s="8" t="s">
        <v>93</v>
      </c>
      <c r="I19" s="13" t="s">
        <v>424</v>
      </c>
      <c r="J19" s="19"/>
    </row>
    <row r="20" spans="1:10">
      <c r="A20" s="24"/>
      <c r="B20" s="25"/>
      <c r="C20" s="26"/>
      <c r="D20" s="25"/>
      <c r="E20" s="27"/>
      <c r="F20" s="25"/>
      <c r="G20" s="25"/>
      <c r="H20" s="25"/>
      <c r="I20" s="24"/>
      <c r="J20" s="28"/>
    </row>
    <row r="21" spans="1:10">
      <c r="A21" s="24"/>
      <c r="B21" s="25"/>
      <c r="C21" s="26"/>
      <c r="D21" s="25"/>
      <c r="E21" s="27"/>
      <c r="F21" s="25"/>
      <c r="G21" s="25"/>
      <c r="H21" s="25"/>
      <c r="I21" s="24"/>
      <c r="J21" s="28"/>
    </row>
    <row r="22" spans="1:10">
      <c r="A22" s="24"/>
      <c r="B22" s="25"/>
      <c r="C22" s="26"/>
      <c r="D22" s="25"/>
      <c r="E22" s="27"/>
      <c r="F22" s="25"/>
      <c r="G22" s="25"/>
      <c r="H22" s="25"/>
      <c r="I22" s="24"/>
      <c r="J22" s="28"/>
    </row>
    <row r="23" spans="1:10" s="20" customFormat="1">
      <c r="D23" s="248" t="s">
        <v>95</v>
      </c>
      <c r="E23" s="253"/>
    </row>
    <row r="24" spans="1:10" s="20" customFormat="1">
      <c r="D24" s="248" t="s">
        <v>100</v>
      </c>
      <c r="E24" s="253"/>
    </row>
    <row r="25" spans="1:10" s="20" customFormat="1">
      <c r="D25" s="248" t="s">
        <v>343</v>
      </c>
      <c r="E25" s="253"/>
    </row>
    <row r="26" spans="1:10" s="20" customFormat="1">
      <c r="D26" s="248" t="s">
        <v>388</v>
      </c>
      <c r="E26" s="253"/>
    </row>
  </sheetData>
  <mergeCells count="10">
    <mergeCell ref="A2:J2"/>
    <mergeCell ref="A3:J3"/>
    <mergeCell ref="D4:E4"/>
    <mergeCell ref="F4:G4"/>
    <mergeCell ref="C4:C5"/>
    <mergeCell ref="H4:H5"/>
    <mergeCell ref="J4:J5"/>
    <mergeCell ref="A4:A5"/>
    <mergeCell ref="B4:B5"/>
    <mergeCell ref="I4:I5"/>
  </mergeCells>
  <phoneticPr fontId="0" type="noConversion"/>
  <pageMargins left="0.6" right="0.47244094488188981" top="0.61" bottom="0.55000000000000004" header="0.41" footer="0.12"/>
  <pageSetup paperSize="9" orientation="landscape" horizontalDpi="300" verticalDpi="300" r:id="rId1"/>
  <headerFooter alignWithMargins="0">
    <oddHeader>&amp;Rแผ่นที่ 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A23"/>
  <sheetViews>
    <sheetView view="pageBreakPreview" zoomScale="125" zoomScaleNormal="125" zoomScaleSheetLayoutView="125" workbookViewId="0">
      <selection activeCell="H7" sqref="H7"/>
    </sheetView>
  </sheetViews>
  <sheetFormatPr defaultRowHeight="18.75"/>
  <cols>
    <col min="1" max="1" width="5.7109375" style="43" customWidth="1"/>
    <col min="2" max="2" width="12.28515625" style="43" customWidth="1"/>
    <col min="3" max="3" width="28.140625" style="43" customWidth="1"/>
    <col min="4" max="4" width="12.42578125" style="43" customWidth="1"/>
    <col min="5" max="5" width="9.42578125" style="43" customWidth="1"/>
    <col min="6" max="6" width="11.5703125" style="43" customWidth="1"/>
    <col min="7" max="7" width="10.140625" style="43" customWidth="1"/>
    <col min="8" max="8" width="12" style="43" customWidth="1"/>
    <col min="9" max="9" width="10.140625" style="43" customWidth="1"/>
    <col min="10" max="10" width="11.5703125" style="43" customWidth="1"/>
    <col min="11" max="11" width="6.85546875" style="43" customWidth="1"/>
    <col min="12" max="12" width="6.7109375" style="43" customWidth="1"/>
    <col min="13" max="16384" width="9.140625" style="43"/>
  </cols>
  <sheetData>
    <row r="1" spans="1:20">
      <c r="A1" s="324" t="s">
        <v>515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20" s="149" customFormat="1" ht="19.5">
      <c r="A2" s="333" t="s">
        <v>68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173"/>
      <c r="O2" s="173"/>
      <c r="P2" s="173"/>
      <c r="Q2" s="173"/>
      <c r="R2" s="173"/>
      <c r="S2" s="39"/>
      <c r="T2" s="39"/>
    </row>
    <row r="3" spans="1:20" ht="20.25">
      <c r="I3" s="174" t="s">
        <v>165</v>
      </c>
      <c r="J3" s="43" t="s">
        <v>666</v>
      </c>
      <c r="N3" s="39"/>
      <c r="O3" s="39"/>
      <c r="P3" s="39"/>
      <c r="Q3" s="39"/>
      <c r="R3" s="39"/>
    </row>
    <row r="4" spans="1:20">
      <c r="A4" s="91"/>
      <c r="B4" s="378" t="s">
        <v>170</v>
      </c>
      <c r="C4" s="394" t="s">
        <v>174</v>
      </c>
      <c r="D4" s="394"/>
      <c r="E4" s="378" t="s">
        <v>173</v>
      </c>
      <c r="F4" s="378"/>
      <c r="G4" s="378"/>
      <c r="H4" s="378"/>
      <c r="I4" s="378" t="s">
        <v>201</v>
      </c>
      <c r="J4" s="378"/>
      <c r="K4" s="92" t="s">
        <v>202</v>
      </c>
      <c r="L4" s="92" t="s">
        <v>203</v>
      </c>
      <c r="M4" s="378" t="s">
        <v>91</v>
      </c>
    </row>
    <row r="5" spans="1:20">
      <c r="A5" s="93"/>
      <c r="B5" s="380"/>
      <c r="C5" s="395" t="s">
        <v>177</v>
      </c>
      <c r="D5" s="395"/>
      <c r="E5" s="380"/>
      <c r="F5" s="380"/>
      <c r="G5" s="380"/>
      <c r="H5" s="380"/>
      <c r="I5" s="380"/>
      <c r="J5" s="380"/>
      <c r="K5" s="94" t="s">
        <v>204</v>
      </c>
      <c r="L5" s="94" t="s">
        <v>202</v>
      </c>
      <c r="M5" s="379"/>
    </row>
    <row r="6" spans="1:20">
      <c r="A6" s="94" t="s">
        <v>83</v>
      </c>
      <c r="B6" s="379" t="s">
        <v>171</v>
      </c>
      <c r="C6" s="379" t="s">
        <v>150</v>
      </c>
      <c r="D6" s="93"/>
      <c r="E6" s="94" t="s">
        <v>205</v>
      </c>
      <c r="F6" s="94" t="s">
        <v>182</v>
      </c>
      <c r="G6" s="94" t="s">
        <v>193</v>
      </c>
      <c r="H6" s="94" t="s">
        <v>206</v>
      </c>
      <c r="I6" s="94" t="s">
        <v>207</v>
      </c>
      <c r="J6" s="94" t="s">
        <v>184</v>
      </c>
      <c r="K6" s="94" t="s">
        <v>208</v>
      </c>
      <c r="L6" s="94" t="s">
        <v>204</v>
      </c>
      <c r="M6" s="379"/>
    </row>
    <row r="7" spans="1:20">
      <c r="A7" s="94" t="s">
        <v>185</v>
      </c>
      <c r="B7" s="379"/>
      <c r="C7" s="379"/>
      <c r="D7" s="94" t="s">
        <v>186</v>
      </c>
      <c r="E7" s="94" t="s">
        <v>209</v>
      </c>
      <c r="F7" s="94" t="s">
        <v>210</v>
      </c>
      <c r="G7" s="94" t="s">
        <v>142</v>
      </c>
      <c r="H7" s="94" t="s">
        <v>211</v>
      </c>
      <c r="I7" s="94" t="s">
        <v>85</v>
      </c>
      <c r="J7" s="94" t="s">
        <v>85</v>
      </c>
      <c r="K7" s="94" t="s">
        <v>212</v>
      </c>
      <c r="L7" s="94" t="s">
        <v>208</v>
      </c>
      <c r="M7" s="379"/>
    </row>
    <row r="8" spans="1:20">
      <c r="A8" s="93"/>
      <c r="B8" s="379"/>
      <c r="C8" s="379"/>
      <c r="D8" s="94" t="s">
        <v>194</v>
      </c>
      <c r="E8" s="94"/>
      <c r="F8" s="94" t="s">
        <v>190</v>
      </c>
      <c r="G8" s="94" t="s">
        <v>211</v>
      </c>
      <c r="H8" s="94"/>
      <c r="I8" s="94" t="s">
        <v>199</v>
      </c>
      <c r="J8" s="94" t="s">
        <v>197</v>
      </c>
      <c r="K8" s="94"/>
      <c r="L8" s="94" t="s">
        <v>212</v>
      </c>
      <c r="M8" s="379"/>
    </row>
    <row r="9" spans="1:20">
      <c r="A9" s="95"/>
      <c r="B9" s="380"/>
      <c r="C9" s="380"/>
      <c r="D9" s="95"/>
      <c r="E9" s="175"/>
      <c r="F9" s="175" t="s">
        <v>211</v>
      </c>
      <c r="G9" s="175"/>
      <c r="H9" s="175"/>
      <c r="I9" s="175"/>
      <c r="J9" s="175" t="s">
        <v>199</v>
      </c>
      <c r="K9" s="175"/>
      <c r="L9" s="175"/>
      <c r="M9" s="380"/>
    </row>
    <row r="10" spans="1:20" s="3" customFormat="1">
      <c r="A10" s="56"/>
      <c r="B10" s="147" t="s">
        <v>341</v>
      </c>
      <c r="C10" s="97" t="s">
        <v>92</v>
      </c>
      <c r="D10" s="97" t="s">
        <v>92</v>
      </c>
      <c r="E10" s="97" t="s">
        <v>92</v>
      </c>
      <c r="F10" s="97" t="s">
        <v>92</v>
      </c>
      <c r="G10" s="97" t="s">
        <v>92</v>
      </c>
      <c r="H10" s="97" t="s">
        <v>92</v>
      </c>
      <c r="I10" s="97" t="s">
        <v>92</v>
      </c>
      <c r="J10" s="97" t="s">
        <v>92</v>
      </c>
      <c r="K10" s="97" t="s">
        <v>92</v>
      </c>
      <c r="L10" s="15" t="s">
        <v>92</v>
      </c>
      <c r="M10" s="176"/>
    </row>
    <row r="11" spans="1:20" s="3" customFormat="1">
      <c r="A11" s="71"/>
      <c r="B11" s="180"/>
      <c r="C11" s="181"/>
      <c r="D11" s="181"/>
      <c r="E11" s="181"/>
      <c r="F11" s="181"/>
      <c r="G11" s="181"/>
      <c r="H11" s="181"/>
      <c r="I11" s="181"/>
      <c r="J11" s="181"/>
      <c r="K11" s="181"/>
      <c r="L11" s="72"/>
      <c r="M11" s="73"/>
    </row>
    <row r="12" spans="1:20" s="3" customFormat="1">
      <c r="A12" s="71"/>
      <c r="B12" s="180"/>
      <c r="C12" s="181"/>
      <c r="D12" s="181"/>
      <c r="E12" s="181"/>
      <c r="F12" s="181"/>
      <c r="G12" s="181"/>
      <c r="H12" s="181"/>
      <c r="I12" s="181"/>
      <c r="J12" s="181"/>
      <c r="K12" s="181"/>
      <c r="L12" s="72"/>
      <c r="M12" s="73"/>
    </row>
    <row r="13" spans="1:20" s="3" customFormat="1">
      <c r="A13" s="71"/>
      <c r="B13" s="180"/>
      <c r="C13" s="181"/>
      <c r="D13" s="181"/>
      <c r="E13" s="181"/>
      <c r="F13" s="181"/>
      <c r="G13" s="181"/>
      <c r="H13" s="181"/>
      <c r="I13" s="181"/>
      <c r="J13" s="181"/>
      <c r="K13" s="181"/>
      <c r="L13" s="72"/>
      <c r="M13" s="73"/>
    </row>
    <row r="14" spans="1:20" s="3" customFormat="1">
      <c r="A14" s="71"/>
      <c r="B14" s="180"/>
      <c r="C14" s="181"/>
      <c r="D14" s="181"/>
      <c r="E14" s="181"/>
      <c r="F14" s="181"/>
      <c r="G14" s="181"/>
      <c r="H14" s="181"/>
      <c r="I14" s="181"/>
      <c r="J14" s="181"/>
      <c r="K14" s="181"/>
      <c r="L14" s="72"/>
      <c r="M14" s="73"/>
    </row>
    <row r="15" spans="1:20">
      <c r="A15" s="57"/>
      <c r="B15" s="58"/>
      <c r="C15" s="59"/>
      <c r="D15" s="157"/>
      <c r="E15" s="102"/>
      <c r="F15" s="177"/>
      <c r="G15" s="177"/>
      <c r="H15" s="177"/>
      <c r="I15" s="58"/>
      <c r="J15" s="178"/>
      <c r="K15" s="58"/>
      <c r="L15" s="58"/>
      <c r="M15" s="69"/>
    </row>
    <row r="16" spans="1:20">
      <c r="A16" s="112"/>
      <c r="B16" s="112"/>
      <c r="C16" s="112"/>
      <c r="D16" s="112"/>
      <c r="E16" s="179"/>
      <c r="F16" s="179"/>
      <c r="G16" s="179"/>
      <c r="H16" s="179"/>
      <c r="I16" s="179"/>
      <c r="J16" s="179"/>
      <c r="K16" s="112"/>
      <c r="L16" s="112"/>
      <c r="M16" s="112"/>
    </row>
    <row r="20" spans="1:27" s="49" customFormat="1" ht="15.75">
      <c r="A20" s="44"/>
      <c r="B20" s="45" t="s">
        <v>71</v>
      </c>
      <c r="C20" s="46"/>
      <c r="D20" s="45"/>
      <c r="E20" s="47"/>
      <c r="F20" s="47" t="s">
        <v>72</v>
      </c>
      <c r="G20" s="47"/>
      <c r="H20" s="47"/>
      <c r="I20" s="335" t="s">
        <v>76</v>
      </c>
      <c r="J20" s="335"/>
      <c r="K20" s="335"/>
      <c r="L20" s="335"/>
      <c r="M20" s="47"/>
      <c r="R20" s="51"/>
      <c r="S20" s="52"/>
      <c r="T20" s="53"/>
      <c r="U20" s="51"/>
      <c r="V20" s="51"/>
      <c r="W20" s="51"/>
      <c r="X20" s="51"/>
      <c r="Y20" s="51"/>
      <c r="Z20" s="51"/>
      <c r="AA20" s="51"/>
    </row>
    <row r="21" spans="1:27" s="49" customFormat="1" ht="15.75">
      <c r="A21" s="44"/>
      <c r="B21" s="45" t="s">
        <v>647</v>
      </c>
      <c r="C21" s="46"/>
      <c r="D21" s="45"/>
      <c r="E21" s="47"/>
      <c r="F21" s="47" t="s">
        <v>75</v>
      </c>
      <c r="G21" s="47"/>
      <c r="H21" s="47"/>
      <c r="I21" s="335" t="s">
        <v>69</v>
      </c>
      <c r="J21" s="335"/>
      <c r="K21" s="335"/>
      <c r="L21" s="335"/>
      <c r="M21" s="47"/>
      <c r="R21" s="51"/>
      <c r="S21" s="52"/>
      <c r="T21" s="53"/>
      <c r="U21" s="51"/>
      <c r="V21" s="51"/>
      <c r="W21" s="51"/>
      <c r="X21" s="51"/>
      <c r="Y21" s="51"/>
      <c r="Z21" s="51"/>
      <c r="AA21" s="51"/>
    </row>
    <row r="22" spans="1:27" s="49" customFormat="1" ht="15.75">
      <c r="A22" s="54"/>
      <c r="B22" s="45" t="s">
        <v>664</v>
      </c>
      <c r="C22" s="52"/>
      <c r="D22" s="45"/>
      <c r="F22" s="48" t="s">
        <v>74</v>
      </c>
      <c r="I22" s="335" t="s">
        <v>70</v>
      </c>
      <c r="J22" s="335"/>
      <c r="K22" s="335"/>
      <c r="L22" s="335"/>
      <c r="R22" s="54"/>
      <c r="S22" s="52"/>
      <c r="T22" s="53"/>
    </row>
    <row r="23" spans="1:27" s="54" customFormat="1" ht="15.75"/>
  </sheetData>
  <mergeCells count="13">
    <mergeCell ref="C6:C9"/>
    <mergeCell ref="I20:L20"/>
    <mergeCell ref="I21:L21"/>
    <mergeCell ref="I22:L22"/>
    <mergeCell ref="A1:M1"/>
    <mergeCell ref="A2:M2"/>
    <mergeCell ref="B4:B5"/>
    <mergeCell ref="C4:D4"/>
    <mergeCell ref="E4:H5"/>
    <mergeCell ref="I4:J5"/>
    <mergeCell ref="M4:M9"/>
    <mergeCell ref="C5:D5"/>
    <mergeCell ref="B6:B9"/>
  </mergeCells>
  <phoneticPr fontId="3" type="noConversion"/>
  <pageMargins left="0.21" right="0" top="0.78740157480314965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Normal="125" zoomScaleSheetLayoutView="100" workbookViewId="0">
      <selection activeCell="D6" sqref="D6:J33"/>
    </sheetView>
  </sheetViews>
  <sheetFormatPr defaultRowHeight="18.75"/>
  <cols>
    <col min="1" max="1" width="5.28515625" style="3" customWidth="1"/>
    <col min="2" max="2" width="13.7109375" style="3" customWidth="1"/>
    <col min="3" max="3" width="30.7109375" style="3" customWidth="1"/>
    <col min="4" max="4" width="26.140625" style="3" customWidth="1"/>
    <col min="5" max="5" width="12.7109375" style="23" customWidth="1"/>
    <col min="6" max="6" width="7.7109375" style="3" customWidth="1"/>
    <col min="7" max="7" width="10.140625" style="3" customWidth="1"/>
    <col min="8" max="8" width="8.5703125" style="3" customWidth="1"/>
    <col min="9" max="9" width="8" style="3" customWidth="1"/>
    <col min="10" max="10" width="14.85546875" style="3" customWidth="1"/>
    <col min="11" max="16384" width="9.140625" style="3"/>
  </cols>
  <sheetData>
    <row r="1" spans="1:10">
      <c r="J1" s="5" t="s">
        <v>162</v>
      </c>
    </row>
    <row r="2" spans="1:10">
      <c r="A2" s="315" t="s">
        <v>423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0">
      <c r="A3" s="316" t="s">
        <v>486</v>
      </c>
      <c r="B3" s="316"/>
      <c r="C3" s="316"/>
      <c r="D3" s="316"/>
      <c r="E3" s="316"/>
      <c r="F3" s="316"/>
      <c r="G3" s="316"/>
      <c r="H3" s="316"/>
      <c r="I3" s="316"/>
      <c r="J3" s="316"/>
    </row>
    <row r="4" spans="1:10" ht="19.5" customHeight="1">
      <c r="A4" s="313" t="s">
        <v>116</v>
      </c>
      <c r="B4" s="313" t="s">
        <v>160</v>
      </c>
      <c r="C4" s="313" t="s">
        <v>84</v>
      </c>
      <c r="D4" s="317" t="s">
        <v>85</v>
      </c>
      <c r="E4" s="318"/>
      <c r="F4" s="317" t="s">
        <v>88</v>
      </c>
      <c r="G4" s="319"/>
      <c r="H4" s="313" t="s">
        <v>90</v>
      </c>
      <c r="I4" s="313" t="s">
        <v>163</v>
      </c>
      <c r="J4" s="313" t="s">
        <v>91</v>
      </c>
    </row>
    <row r="5" spans="1:10" ht="37.5">
      <c r="A5" s="314"/>
      <c r="B5" s="314"/>
      <c r="C5" s="314"/>
      <c r="D5" s="8" t="s">
        <v>86</v>
      </c>
      <c r="E5" s="9" t="s">
        <v>87</v>
      </c>
      <c r="F5" s="8" t="s">
        <v>89</v>
      </c>
      <c r="G5" s="10" t="s">
        <v>87</v>
      </c>
      <c r="H5" s="314"/>
      <c r="I5" s="314"/>
      <c r="J5" s="314"/>
    </row>
    <row r="6" spans="1:10">
      <c r="A6" s="6"/>
      <c r="B6" s="7"/>
      <c r="C6" s="21" t="s">
        <v>352</v>
      </c>
      <c r="D6" s="7"/>
      <c r="E6" s="249"/>
      <c r="F6" s="7"/>
      <c r="G6" s="7"/>
      <c r="H6" s="7"/>
      <c r="I6" s="7"/>
      <c r="J6" s="14"/>
    </row>
    <row r="7" spans="1:10" ht="56.25">
      <c r="A7" s="22">
        <v>1</v>
      </c>
      <c r="B7" s="15" t="s">
        <v>448</v>
      </c>
      <c r="C7" s="16" t="s">
        <v>389</v>
      </c>
      <c r="D7" s="8" t="s">
        <v>365</v>
      </c>
      <c r="E7" s="17">
        <v>90000</v>
      </c>
      <c r="F7" s="8"/>
      <c r="G7" s="7"/>
      <c r="H7" s="8" t="s">
        <v>93</v>
      </c>
      <c r="I7" s="13" t="s">
        <v>366</v>
      </c>
      <c r="J7" s="14"/>
    </row>
    <row r="8" spans="1:10" ht="56.25">
      <c r="A8" s="22">
        <v>8</v>
      </c>
      <c r="B8" s="8" t="s">
        <v>425</v>
      </c>
      <c r="C8" s="16" t="s">
        <v>449</v>
      </c>
      <c r="D8" s="8" t="s">
        <v>369</v>
      </c>
      <c r="E8" s="17">
        <v>210000</v>
      </c>
      <c r="F8" s="8"/>
      <c r="G8" s="7"/>
      <c r="H8" s="8" t="s">
        <v>93</v>
      </c>
      <c r="I8" s="13" t="s">
        <v>424</v>
      </c>
      <c r="J8" s="14"/>
    </row>
    <row r="9" spans="1:10" ht="56.25">
      <c r="A9" s="22">
        <v>18</v>
      </c>
      <c r="B9" s="8" t="s">
        <v>425</v>
      </c>
      <c r="C9" s="19" t="s">
        <v>458</v>
      </c>
      <c r="D9" s="19" t="s">
        <v>374</v>
      </c>
      <c r="E9" s="17">
        <v>550000</v>
      </c>
      <c r="F9" s="8"/>
      <c r="G9" s="7"/>
      <c r="H9" s="8" t="s">
        <v>93</v>
      </c>
      <c r="I9" s="13" t="s">
        <v>424</v>
      </c>
      <c r="J9" s="14"/>
    </row>
    <row r="10" spans="1:10" ht="56.25">
      <c r="A10" s="22">
        <v>19</v>
      </c>
      <c r="B10" s="8" t="s">
        <v>425</v>
      </c>
      <c r="C10" s="19" t="s">
        <v>459</v>
      </c>
      <c r="D10" s="19" t="s">
        <v>374</v>
      </c>
      <c r="E10" s="17">
        <v>5000</v>
      </c>
      <c r="F10" s="8"/>
      <c r="G10" s="7"/>
      <c r="H10" s="8" t="s">
        <v>93</v>
      </c>
      <c r="I10" s="13" t="s">
        <v>424</v>
      </c>
      <c r="J10" s="14"/>
    </row>
    <row r="11" spans="1:10" ht="56.25">
      <c r="A11" s="22">
        <v>20</v>
      </c>
      <c r="B11" s="8" t="s">
        <v>425</v>
      </c>
      <c r="C11" s="19" t="s">
        <v>460</v>
      </c>
      <c r="D11" s="19" t="s">
        <v>374</v>
      </c>
      <c r="E11" s="17">
        <v>5000</v>
      </c>
      <c r="F11" s="8"/>
      <c r="G11" s="7"/>
      <c r="H11" s="8" t="s">
        <v>93</v>
      </c>
      <c r="I11" s="13" t="s">
        <v>424</v>
      </c>
      <c r="J11" s="14"/>
    </row>
    <row r="12" spans="1:10" ht="56.25">
      <c r="A12" s="22">
        <v>21</v>
      </c>
      <c r="B12" s="8" t="s">
        <v>425</v>
      </c>
      <c r="C12" s="19" t="s">
        <v>464</v>
      </c>
      <c r="D12" s="19" t="s">
        <v>376</v>
      </c>
      <c r="E12" s="17">
        <v>188000</v>
      </c>
      <c r="F12" s="8"/>
      <c r="G12" s="7"/>
      <c r="H12" s="8" t="s">
        <v>93</v>
      </c>
      <c r="I12" s="13" t="s">
        <v>424</v>
      </c>
      <c r="J12" s="14"/>
    </row>
    <row r="13" spans="1:10" ht="56.25">
      <c r="A13" s="22">
        <v>22</v>
      </c>
      <c r="B13" s="8" t="s">
        <v>425</v>
      </c>
      <c r="C13" s="19" t="s">
        <v>465</v>
      </c>
      <c r="D13" s="19" t="s">
        <v>377</v>
      </c>
      <c r="E13" s="17">
        <v>16000</v>
      </c>
      <c r="F13" s="8"/>
      <c r="G13" s="7"/>
      <c r="H13" s="8" t="s">
        <v>93</v>
      </c>
      <c r="I13" s="13" t="s">
        <v>424</v>
      </c>
      <c r="J13" s="14"/>
    </row>
    <row r="14" spans="1:10" ht="56.25">
      <c r="A14" s="22">
        <v>23</v>
      </c>
      <c r="B14" s="8" t="s">
        <v>425</v>
      </c>
      <c r="C14" s="19" t="s">
        <v>466</v>
      </c>
      <c r="D14" s="19" t="s">
        <v>377</v>
      </c>
      <c r="E14" s="17">
        <v>470000</v>
      </c>
      <c r="F14" s="8"/>
      <c r="G14" s="7"/>
      <c r="H14" s="8" t="s">
        <v>93</v>
      </c>
      <c r="I14" s="13" t="s">
        <v>424</v>
      </c>
      <c r="J14" s="14"/>
    </row>
    <row r="15" spans="1:10" ht="56.25">
      <c r="A15" s="8">
        <v>24</v>
      </c>
      <c r="B15" s="8" t="s">
        <v>425</v>
      </c>
      <c r="C15" s="19" t="s">
        <v>467</v>
      </c>
      <c r="D15" s="19" t="s">
        <v>468</v>
      </c>
      <c r="E15" s="29">
        <v>10000</v>
      </c>
      <c r="F15" s="19"/>
      <c r="G15" s="19"/>
      <c r="H15" s="8" t="s">
        <v>93</v>
      </c>
      <c r="I15" s="13" t="s">
        <v>424</v>
      </c>
      <c r="J15" s="14"/>
    </row>
    <row r="16" spans="1:10">
      <c r="A16" s="22"/>
      <c r="B16" s="7"/>
      <c r="C16" s="21" t="s">
        <v>354</v>
      </c>
      <c r="D16" s="7"/>
      <c r="E16" s="17"/>
      <c r="F16" s="7"/>
      <c r="G16" s="7"/>
      <c r="H16" s="7"/>
      <c r="I16" s="252"/>
      <c r="J16" s="14"/>
    </row>
    <row r="17" spans="1:10" ht="56.25">
      <c r="A17" s="22">
        <v>2</v>
      </c>
      <c r="B17" s="8" t="s">
        <v>425</v>
      </c>
      <c r="C17" s="16" t="s">
        <v>367</v>
      </c>
      <c r="D17" s="8" t="s">
        <v>365</v>
      </c>
      <c r="E17" s="17">
        <v>108000</v>
      </c>
      <c r="F17" s="8"/>
      <c r="G17" s="7"/>
      <c r="H17" s="8" t="s">
        <v>93</v>
      </c>
      <c r="I17" s="13" t="s">
        <v>424</v>
      </c>
      <c r="J17" s="14"/>
    </row>
    <row r="18" spans="1:10" ht="56.25">
      <c r="A18" s="22">
        <v>3</v>
      </c>
      <c r="B18" s="8" t="s">
        <v>425</v>
      </c>
      <c r="C18" s="16" t="s">
        <v>151</v>
      </c>
      <c r="D18" s="8" t="s">
        <v>365</v>
      </c>
      <c r="E18" s="17">
        <v>10000</v>
      </c>
      <c r="F18" s="8"/>
      <c r="G18" s="7"/>
      <c r="H18" s="8" t="s">
        <v>93</v>
      </c>
      <c r="I18" s="13" t="s">
        <v>424</v>
      </c>
      <c r="J18" s="14" t="s">
        <v>77</v>
      </c>
    </row>
    <row r="19" spans="1:10" ht="56.25">
      <c r="A19" s="22">
        <v>12</v>
      </c>
      <c r="B19" s="8" t="s">
        <v>425</v>
      </c>
      <c r="C19" s="19" t="s">
        <v>97</v>
      </c>
      <c r="D19" s="8" t="s">
        <v>369</v>
      </c>
      <c r="E19" s="29">
        <v>58000</v>
      </c>
      <c r="F19" s="8"/>
      <c r="G19" s="7"/>
      <c r="H19" s="8" t="s">
        <v>93</v>
      </c>
      <c r="I19" s="13" t="s">
        <v>424</v>
      </c>
      <c r="J19" s="14" t="s">
        <v>77</v>
      </c>
    </row>
    <row r="20" spans="1:10" ht="56.25">
      <c r="A20" s="22">
        <v>13</v>
      </c>
      <c r="B20" s="8" t="s">
        <v>425</v>
      </c>
      <c r="C20" s="19" t="s">
        <v>370</v>
      </c>
      <c r="D20" s="8" t="s">
        <v>369</v>
      </c>
      <c r="E20" s="29">
        <v>177480</v>
      </c>
      <c r="F20" s="8"/>
      <c r="G20" s="7"/>
      <c r="H20" s="8" t="s">
        <v>166</v>
      </c>
      <c r="I20" s="13" t="s">
        <v>424</v>
      </c>
      <c r="J20" s="14" t="s">
        <v>77</v>
      </c>
    </row>
    <row r="21" spans="1:10" ht="93.75">
      <c r="A21" s="22">
        <v>14</v>
      </c>
      <c r="B21" s="8" t="s">
        <v>425</v>
      </c>
      <c r="C21" s="19" t="s">
        <v>371</v>
      </c>
      <c r="D21" s="8" t="s">
        <v>369</v>
      </c>
      <c r="E21" s="29">
        <v>423490</v>
      </c>
      <c r="F21" s="8"/>
      <c r="G21" s="7"/>
      <c r="H21" s="8" t="s">
        <v>166</v>
      </c>
      <c r="I21" s="13" t="s">
        <v>424</v>
      </c>
      <c r="J21" s="14" t="s">
        <v>77</v>
      </c>
    </row>
    <row r="22" spans="1:10">
      <c r="A22" s="22"/>
      <c r="B22" s="7"/>
      <c r="C22" s="21" t="s">
        <v>362</v>
      </c>
      <c r="D22" s="7"/>
      <c r="E22" s="17"/>
      <c r="F22" s="7"/>
      <c r="G22" s="7"/>
      <c r="H22" s="7"/>
      <c r="I22" s="13"/>
      <c r="J22" s="14"/>
    </row>
    <row r="23" spans="1:10" ht="56.25">
      <c r="A23" s="74">
        <v>4</v>
      </c>
      <c r="B23" s="8" t="s">
        <v>425</v>
      </c>
      <c r="C23" s="80" t="s">
        <v>430</v>
      </c>
      <c r="D23" s="8" t="s">
        <v>365</v>
      </c>
      <c r="E23" s="29">
        <v>32000</v>
      </c>
      <c r="F23" s="8"/>
      <c r="G23" s="8"/>
      <c r="H23" s="8" t="s">
        <v>93</v>
      </c>
      <c r="I23" s="13" t="s">
        <v>424</v>
      </c>
      <c r="J23" s="14"/>
    </row>
    <row r="24" spans="1:10" ht="56.25">
      <c r="A24" s="74">
        <v>5</v>
      </c>
      <c r="B24" s="8" t="s">
        <v>425</v>
      </c>
      <c r="C24" s="80" t="s">
        <v>431</v>
      </c>
      <c r="D24" s="8" t="s">
        <v>365</v>
      </c>
      <c r="E24" s="29">
        <v>9600</v>
      </c>
      <c r="F24" s="8"/>
      <c r="G24" s="8"/>
      <c r="H24" s="8" t="s">
        <v>93</v>
      </c>
      <c r="I24" s="13" t="s">
        <v>424</v>
      </c>
      <c r="J24" s="14"/>
    </row>
    <row r="25" spans="1:10" ht="56.25">
      <c r="A25" s="74">
        <v>6</v>
      </c>
      <c r="B25" s="8" t="s">
        <v>425</v>
      </c>
      <c r="C25" s="80" t="s">
        <v>437</v>
      </c>
      <c r="D25" s="8" t="s">
        <v>365</v>
      </c>
      <c r="E25" s="29">
        <v>8600</v>
      </c>
      <c r="F25" s="8"/>
      <c r="G25" s="8"/>
      <c r="H25" s="8" t="s">
        <v>93</v>
      </c>
      <c r="I25" s="13" t="s">
        <v>424</v>
      </c>
      <c r="J25" s="14"/>
    </row>
    <row r="26" spans="1:10" ht="56.25">
      <c r="A26" s="74">
        <v>7</v>
      </c>
      <c r="B26" s="8" t="s">
        <v>425</v>
      </c>
      <c r="C26" s="80" t="s">
        <v>487</v>
      </c>
      <c r="D26" s="8" t="s">
        <v>365</v>
      </c>
      <c r="E26" s="29">
        <v>16000</v>
      </c>
      <c r="F26" s="8"/>
      <c r="G26" s="8"/>
      <c r="H26" s="8" t="s">
        <v>93</v>
      </c>
      <c r="I26" s="13" t="s">
        <v>424</v>
      </c>
      <c r="J26" s="14"/>
    </row>
    <row r="27" spans="1:10" ht="37.5">
      <c r="A27" s="22"/>
      <c r="B27" s="7"/>
      <c r="C27" s="21" t="s">
        <v>450</v>
      </c>
      <c r="D27" s="7"/>
      <c r="E27" s="17"/>
      <c r="F27" s="7"/>
      <c r="G27" s="7"/>
      <c r="H27" s="7"/>
      <c r="I27" s="252"/>
      <c r="J27" s="14"/>
    </row>
    <row r="28" spans="1:10" ht="56.25">
      <c r="A28" s="22">
        <v>15</v>
      </c>
      <c r="B28" s="8" t="s">
        <v>425</v>
      </c>
      <c r="C28" s="16" t="s">
        <v>451</v>
      </c>
      <c r="D28" s="8" t="s">
        <v>369</v>
      </c>
      <c r="E28" s="17">
        <v>18000</v>
      </c>
      <c r="F28" s="8"/>
      <c r="G28" s="7"/>
      <c r="H28" s="8" t="s">
        <v>93</v>
      </c>
      <c r="I28" s="13" t="s">
        <v>424</v>
      </c>
      <c r="J28" s="14"/>
    </row>
    <row r="29" spans="1:10">
      <c r="A29" s="255"/>
      <c r="B29" s="233"/>
      <c r="C29" s="256"/>
      <c r="D29" s="233"/>
      <c r="E29" s="257"/>
      <c r="F29" s="233"/>
      <c r="G29" s="233"/>
      <c r="H29" s="233"/>
      <c r="I29" s="258"/>
      <c r="J29" s="259"/>
    </row>
    <row r="30" spans="1:10">
      <c r="A30" s="250"/>
      <c r="B30" s="10"/>
      <c r="C30" s="260"/>
      <c r="D30" s="10"/>
      <c r="E30" s="12"/>
      <c r="F30" s="10"/>
      <c r="G30" s="10"/>
      <c r="H30" s="10"/>
      <c r="I30" s="261"/>
      <c r="J30" s="262"/>
    </row>
    <row r="31" spans="1:10">
      <c r="A31" s="22"/>
      <c r="B31" s="7"/>
      <c r="C31" s="21" t="s">
        <v>368</v>
      </c>
      <c r="D31" s="7"/>
      <c r="E31" s="17"/>
      <c r="F31" s="7"/>
      <c r="G31" s="7"/>
      <c r="H31" s="7"/>
      <c r="I31" s="252"/>
      <c r="J31" s="14"/>
    </row>
    <row r="32" spans="1:10" ht="56.25">
      <c r="A32" s="22">
        <v>16</v>
      </c>
      <c r="B32" s="8" t="s">
        <v>425</v>
      </c>
      <c r="C32" s="19" t="s">
        <v>452</v>
      </c>
      <c r="D32" s="8" t="s">
        <v>369</v>
      </c>
      <c r="E32" s="17">
        <v>96800</v>
      </c>
      <c r="F32" s="8"/>
      <c r="G32" s="7"/>
      <c r="H32" s="8" t="s">
        <v>93</v>
      </c>
      <c r="I32" s="13" t="s">
        <v>424</v>
      </c>
      <c r="J32" s="14"/>
    </row>
    <row r="33" spans="1:10" ht="56.25">
      <c r="A33" s="22">
        <v>17</v>
      </c>
      <c r="B33" s="8" t="s">
        <v>425</v>
      </c>
      <c r="C33" s="19" t="s">
        <v>453</v>
      </c>
      <c r="D33" s="8" t="s">
        <v>369</v>
      </c>
      <c r="E33" s="17">
        <v>150000</v>
      </c>
      <c r="F33" s="8"/>
      <c r="G33" s="7"/>
      <c r="H33" s="8" t="s">
        <v>93</v>
      </c>
      <c r="I33" s="13" t="s">
        <v>424</v>
      </c>
      <c r="J33" s="14"/>
    </row>
    <row r="37" spans="1:10" s="20" customFormat="1">
      <c r="A37" s="322" t="s">
        <v>95</v>
      </c>
      <c r="B37" s="323"/>
      <c r="C37" s="323"/>
      <c r="D37" s="323"/>
      <c r="E37" s="323"/>
      <c r="F37" s="323"/>
      <c r="G37" s="323"/>
      <c r="H37" s="323"/>
      <c r="I37" s="323"/>
      <c r="J37" s="323"/>
    </row>
    <row r="38" spans="1:10">
      <c r="A38" s="320" t="s">
        <v>103</v>
      </c>
      <c r="B38" s="321"/>
      <c r="C38" s="321"/>
      <c r="D38" s="321"/>
      <c r="E38" s="321"/>
      <c r="F38" s="321"/>
      <c r="G38" s="321"/>
      <c r="H38" s="321"/>
      <c r="I38" s="321"/>
      <c r="J38" s="321"/>
    </row>
    <row r="39" spans="1:10">
      <c r="A39" s="320" t="s">
        <v>491</v>
      </c>
      <c r="B39" s="321"/>
      <c r="C39" s="321"/>
      <c r="D39" s="321"/>
      <c r="E39" s="321"/>
      <c r="F39" s="321"/>
      <c r="G39" s="321"/>
      <c r="H39" s="321"/>
      <c r="I39" s="321"/>
      <c r="J39" s="321"/>
    </row>
    <row r="40" spans="1:10">
      <c r="A40" s="320"/>
      <c r="B40" s="321"/>
      <c r="C40" s="321"/>
      <c r="D40" s="321"/>
      <c r="E40" s="321"/>
      <c r="F40" s="321"/>
      <c r="G40" s="321"/>
      <c r="H40" s="321"/>
      <c r="I40" s="321"/>
      <c r="J40" s="321"/>
    </row>
    <row r="41" spans="1:10">
      <c r="D41" s="30"/>
    </row>
    <row r="42" spans="1:10">
      <c r="D42" s="30"/>
    </row>
  </sheetData>
  <mergeCells count="14">
    <mergeCell ref="A40:J40"/>
    <mergeCell ref="A39:J39"/>
    <mergeCell ref="A38:J38"/>
    <mergeCell ref="A37:J37"/>
    <mergeCell ref="A2:J2"/>
    <mergeCell ref="A3:J3"/>
    <mergeCell ref="D4:E4"/>
    <mergeCell ref="F4:G4"/>
    <mergeCell ref="C4:C5"/>
    <mergeCell ref="H4:H5"/>
    <mergeCell ref="J4:J5"/>
    <mergeCell ref="A4:A5"/>
    <mergeCell ref="B4:B5"/>
    <mergeCell ref="I4:I5"/>
  </mergeCells>
  <phoneticPr fontId="0" type="noConversion"/>
  <pageMargins left="0.59055118110236227" right="0.47244094488188981" top="0.51181102362204722" bottom="0.62992125984251968" header="0.27559055118110237" footer="0.31496062992125984"/>
  <pageSetup paperSize="9" orientation="landscape" r:id="rId1"/>
  <headerFooter alignWithMargins="0">
    <oddHeader>&amp;Rแผ่นที่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="130" zoomScaleNormal="125" zoomScaleSheetLayoutView="130" workbookViewId="0">
      <selection activeCell="D6" sqref="D6:J36"/>
    </sheetView>
  </sheetViews>
  <sheetFormatPr defaultRowHeight="18.75"/>
  <cols>
    <col min="1" max="1" width="5.28515625" style="3" customWidth="1"/>
    <col min="2" max="2" width="13.7109375" style="3" customWidth="1"/>
    <col min="3" max="3" width="30.7109375" style="3" customWidth="1"/>
    <col min="4" max="4" width="26.140625" style="3" customWidth="1"/>
    <col min="5" max="5" width="12.7109375" style="23" customWidth="1"/>
    <col min="6" max="6" width="7.7109375" style="3" customWidth="1"/>
    <col min="7" max="7" width="10.140625" style="3" customWidth="1"/>
    <col min="8" max="8" width="8.5703125" style="3" customWidth="1"/>
    <col min="9" max="9" width="8" style="3" customWidth="1"/>
    <col min="10" max="10" width="14.85546875" style="3" customWidth="1"/>
    <col min="11" max="16384" width="9.140625" style="3"/>
  </cols>
  <sheetData>
    <row r="1" spans="1:10">
      <c r="J1" s="5" t="s">
        <v>162</v>
      </c>
    </row>
    <row r="2" spans="1:10">
      <c r="A2" s="315" t="s">
        <v>423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0">
      <c r="A3" s="316" t="s">
        <v>81</v>
      </c>
      <c r="B3" s="316"/>
      <c r="C3" s="316"/>
      <c r="D3" s="316"/>
      <c r="E3" s="316"/>
      <c r="F3" s="316"/>
      <c r="G3" s="316"/>
      <c r="H3" s="316"/>
      <c r="I3" s="316"/>
      <c r="J3" s="316"/>
    </row>
    <row r="4" spans="1:10" ht="19.5" customHeight="1">
      <c r="A4" s="313" t="s">
        <v>116</v>
      </c>
      <c r="B4" s="313" t="s">
        <v>160</v>
      </c>
      <c r="C4" s="313" t="s">
        <v>84</v>
      </c>
      <c r="D4" s="317" t="s">
        <v>85</v>
      </c>
      <c r="E4" s="318"/>
      <c r="F4" s="317" t="s">
        <v>88</v>
      </c>
      <c r="G4" s="319"/>
      <c r="H4" s="313" t="s">
        <v>90</v>
      </c>
      <c r="I4" s="313" t="s">
        <v>163</v>
      </c>
      <c r="J4" s="313" t="s">
        <v>91</v>
      </c>
    </row>
    <row r="5" spans="1:10" ht="37.5">
      <c r="A5" s="314"/>
      <c r="B5" s="314"/>
      <c r="C5" s="314"/>
      <c r="D5" s="8" t="s">
        <v>86</v>
      </c>
      <c r="E5" s="9" t="s">
        <v>87</v>
      </c>
      <c r="F5" s="8" t="s">
        <v>89</v>
      </c>
      <c r="G5" s="10" t="s">
        <v>87</v>
      </c>
      <c r="H5" s="314"/>
      <c r="I5" s="314"/>
      <c r="J5" s="314"/>
    </row>
    <row r="6" spans="1:10">
      <c r="A6" s="6"/>
      <c r="B6" s="7"/>
      <c r="C6" s="21" t="s">
        <v>352</v>
      </c>
      <c r="D6" s="7"/>
      <c r="E6" s="249"/>
      <c r="F6" s="7"/>
      <c r="G6" s="7"/>
      <c r="H6" s="7"/>
      <c r="I6" s="7"/>
      <c r="J6" s="247"/>
    </row>
    <row r="7" spans="1:10" ht="56.25">
      <c r="A7" s="22">
        <v>1</v>
      </c>
      <c r="B7" s="15" t="s">
        <v>471</v>
      </c>
      <c r="C7" s="16" t="s">
        <v>227</v>
      </c>
      <c r="D7" s="8" t="s">
        <v>378</v>
      </c>
      <c r="E7" s="17">
        <v>100000</v>
      </c>
      <c r="F7" s="8"/>
      <c r="G7" s="7"/>
      <c r="H7" s="8" t="s">
        <v>93</v>
      </c>
      <c r="I7" s="13" t="s">
        <v>424</v>
      </c>
      <c r="J7" s="14" t="s">
        <v>77</v>
      </c>
    </row>
    <row r="8" spans="1:10" ht="56.25">
      <c r="A8" s="22">
        <v>2</v>
      </c>
      <c r="B8" s="8" t="s">
        <v>471</v>
      </c>
      <c r="C8" s="16" t="s">
        <v>484</v>
      </c>
      <c r="D8" s="8" t="s">
        <v>386</v>
      </c>
      <c r="E8" s="17">
        <v>97900</v>
      </c>
      <c r="F8" s="8"/>
      <c r="G8" s="7"/>
      <c r="H8" s="8" t="s">
        <v>93</v>
      </c>
      <c r="I8" s="74" t="s">
        <v>424</v>
      </c>
      <c r="J8" s="14"/>
    </row>
    <row r="9" spans="1:10">
      <c r="A9" s="22"/>
      <c r="B9" s="7"/>
      <c r="C9" s="21" t="s">
        <v>354</v>
      </c>
      <c r="D9" s="7"/>
      <c r="E9" s="17"/>
      <c r="F9" s="7"/>
      <c r="G9" s="7"/>
      <c r="H9" s="7"/>
      <c r="I9" s="252"/>
      <c r="J9" s="14"/>
    </row>
    <row r="10" spans="1:10" ht="56.25">
      <c r="A10" s="22">
        <v>3</v>
      </c>
      <c r="B10" s="15" t="s">
        <v>471</v>
      </c>
      <c r="C10" s="16" t="s">
        <v>96</v>
      </c>
      <c r="D10" s="8" t="s">
        <v>378</v>
      </c>
      <c r="E10" s="17">
        <v>150000</v>
      </c>
      <c r="F10" s="8"/>
      <c r="G10" s="7"/>
      <c r="H10" s="8" t="s">
        <v>93</v>
      </c>
      <c r="I10" s="13" t="s">
        <v>424</v>
      </c>
      <c r="J10" s="14" t="s">
        <v>77</v>
      </c>
    </row>
    <row r="11" spans="1:10" ht="56.25">
      <c r="A11" s="22">
        <v>4</v>
      </c>
      <c r="B11" s="15" t="s">
        <v>471</v>
      </c>
      <c r="C11" s="16" t="s">
        <v>469</v>
      </c>
      <c r="D11" s="8" t="s">
        <v>378</v>
      </c>
      <c r="E11" s="17">
        <v>100000</v>
      </c>
      <c r="F11" s="8"/>
      <c r="G11" s="7"/>
      <c r="H11" s="8" t="s">
        <v>93</v>
      </c>
      <c r="I11" s="13" t="s">
        <v>424</v>
      </c>
      <c r="J11" s="14" t="s">
        <v>77</v>
      </c>
    </row>
    <row r="12" spans="1:10" ht="56.25">
      <c r="A12" s="22">
        <v>5</v>
      </c>
      <c r="B12" s="15" t="s">
        <v>471</v>
      </c>
      <c r="C12" s="16" t="s">
        <v>470</v>
      </c>
      <c r="D12" s="8" t="s">
        <v>378</v>
      </c>
      <c r="E12" s="17">
        <v>100000</v>
      </c>
      <c r="F12" s="8"/>
      <c r="G12" s="7"/>
      <c r="H12" s="8" t="s">
        <v>93</v>
      </c>
      <c r="I12" s="13" t="s">
        <v>424</v>
      </c>
      <c r="J12" s="14"/>
    </row>
    <row r="13" spans="1:10" ht="56.25">
      <c r="A13" s="22">
        <v>6</v>
      </c>
      <c r="B13" s="8" t="s">
        <v>471</v>
      </c>
      <c r="C13" s="16" t="s">
        <v>483</v>
      </c>
      <c r="D13" s="8" t="s">
        <v>384</v>
      </c>
      <c r="E13" s="17">
        <v>100000</v>
      </c>
      <c r="F13" s="8"/>
      <c r="G13" s="7"/>
      <c r="H13" s="8" t="s">
        <v>93</v>
      </c>
      <c r="I13" s="74" t="s">
        <v>424</v>
      </c>
      <c r="J13" s="14" t="s">
        <v>77</v>
      </c>
    </row>
    <row r="14" spans="1:10">
      <c r="A14" s="22"/>
      <c r="B14" s="7"/>
      <c r="C14" s="21" t="s">
        <v>362</v>
      </c>
      <c r="D14" s="7"/>
      <c r="E14" s="17"/>
      <c r="F14" s="7"/>
      <c r="G14" s="7"/>
      <c r="H14" s="7"/>
      <c r="I14" s="252"/>
      <c r="J14" s="14"/>
    </row>
    <row r="15" spans="1:10" ht="75" customHeight="1">
      <c r="A15" s="22">
        <v>7</v>
      </c>
      <c r="B15" s="8" t="s">
        <v>471</v>
      </c>
      <c r="C15" s="16" t="s">
        <v>430</v>
      </c>
      <c r="D15" s="8" t="s">
        <v>378</v>
      </c>
      <c r="E15" s="17">
        <v>32000</v>
      </c>
      <c r="F15" s="8"/>
      <c r="G15" s="7"/>
      <c r="H15" s="8" t="s">
        <v>93</v>
      </c>
      <c r="I15" s="13" t="s">
        <v>424</v>
      </c>
      <c r="J15" s="14"/>
    </row>
    <row r="16" spans="1:10" ht="58.5" customHeight="1">
      <c r="A16" s="74">
        <v>8</v>
      </c>
      <c r="B16" s="8" t="s">
        <v>471</v>
      </c>
      <c r="C16" s="19" t="s">
        <v>431</v>
      </c>
      <c r="D16" s="8" t="s">
        <v>378</v>
      </c>
      <c r="E16" s="29">
        <v>6400</v>
      </c>
      <c r="F16" s="8"/>
      <c r="G16" s="8"/>
      <c r="H16" s="8" t="s">
        <v>93</v>
      </c>
      <c r="I16" s="74" t="s">
        <v>424</v>
      </c>
      <c r="J16" s="14"/>
    </row>
    <row r="17" spans="1:10">
      <c r="A17" s="22"/>
      <c r="B17" s="7"/>
      <c r="C17" s="21" t="s">
        <v>368</v>
      </c>
      <c r="D17" s="7"/>
      <c r="E17" s="17"/>
      <c r="F17" s="7"/>
      <c r="G17" s="7"/>
      <c r="H17" s="7"/>
      <c r="I17" s="252"/>
      <c r="J17" s="14"/>
    </row>
    <row r="18" spans="1:10" ht="75">
      <c r="A18" s="22">
        <v>9</v>
      </c>
      <c r="B18" s="15" t="s">
        <v>471</v>
      </c>
      <c r="C18" s="16" t="s">
        <v>472</v>
      </c>
      <c r="D18" s="8" t="s">
        <v>378</v>
      </c>
      <c r="E18" s="17">
        <v>197900</v>
      </c>
      <c r="F18" s="8"/>
      <c r="G18" s="7"/>
      <c r="H18" s="8" t="s">
        <v>93</v>
      </c>
      <c r="I18" s="74" t="s">
        <v>424</v>
      </c>
      <c r="J18" s="14" t="s">
        <v>77</v>
      </c>
    </row>
    <row r="19" spans="1:10" ht="56.25">
      <c r="A19" s="22">
        <v>10</v>
      </c>
      <c r="B19" s="15" t="s">
        <v>471</v>
      </c>
      <c r="C19" s="16" t="s">
        <v>473</v>
      </c>
      <c r="D19" s="8" t="s">
        <v>378</v>
      </c>
      <c r="E19" s="17">
        <v>265000</v>
      </c>
      <c r="F19" s="8"/>
      <c r="G19" s="7"/>
      <c r="H19" s="8" t="s">
        <v>93</v>
      </c>
      <c r="I19" s="74" t="s">
        <v>424</v>
      </c>
      <c r="J19" s="14"/>
    </row>
    <row r="20" spans="1:10" ht="56.25">
      <c r="A20" s="22">
        <v>11</v>
      </c>
      <c r="B20" s="15" t="s">
        <v>471</v>
      </c>
      <c r="C20" s="16" t="s">
        <v>474</v>
      </c>
      <c r="D20" s="8" t="s">
        <v>378</v>
      </c>
      <c r="E20" s="17">
        <v>99300</v>
      </c>
      <c r="F20" s="8"/>
      <c r="G20" s="7"/>
      <c r="H20" s="8" t="s">
        <v>93</v>
      </c>
      <c r="I20" s="74" t="s">
        <v>424</v>
      </c>
      <c r="J20" s="14"/>
    </row>
    <row r="21" spans="1:10" ht="56.25">
      <c r="A21" s="22">
        <v>12</v>
      </c>
      <c r="B21" s="15" t="s">
        <v>471</v>
      </c>
      <c r="C21" s="16" t="s">
        <v>475</v>
      </c>
      <c r="D21" s="8" t="s">
        <v>378</v>
      </c>
      <c r="E21" s="17">
        <v>121200</v>
      </c>
      <c r="F21" s="8"/>
      <c r="G21" s="7"/>
      <c r="H21" s="8" t="s">
        <v>93</v>
      </c>
      <c r="I21" s="74" t="s">
        <v>424</v>
      </c>
      <c r="J21" s="14"/>
    </row>
    <row r="22" spans="1:10" ht="56.25">
      <c r="A22" s="22">
        <v>13</v>
      </c>
      <c r="B22" s="8" t="s">
        <v>471</v>
      </c>
      <c r="C22" s="19" t="s">
        <v>476</v>
      </c>
      <c r="D22" s="8" t="s">
        <v>346</v>
      </c>
      <c r="E22" s="29">
        <v>99700</v>
      </c>
      <c r="F22" s="8"/>
      <c r="G22" s="8"/>
      <c r="H22" s="8" t="s">
        <v>93</v>
      </c>
      <c r="I22" s="74" t="s">
        <v>424</v>
      </c>
      <c r="J22" s="14"/>
    </row>
    <row r="23" spans="1:10" ht="56.25">
      <c r="A23" s="22">
        <v>14</v>
      </c>
      <c r="B23" s="8" t="s">
        <v>471</v>
      </c>
      <c r="C23" s="19" t="s">
        <v>477</v>
      </c>
      <c r="D23" s="8" t="s">
        <v>346</v>
      </c>
      <c r="E23" s="29">
        <v>99500</v>
      </c>
      <c r="F23" s="8"/>
      <c r="G23" s="8"/>
      <c r="H23" s="8" t="s">
        <v>93</v>
      </c>
      <c r="I23" s="74" t="s">
        <v>424</v>
      </c>
      <c r="J23" s="14"/>
    </row>
    <row r="24" spans="1:10" ht="56.25">
      <c r="A24" s="22">
        <v>15</v>
      </c>
      <c r="B24" s="8" t="s">
        <v>471</v>
      </c>
      <c r="C24" s="19" t="s">
        <v>379</v>
      </c>
      <c r="D24" s="8" t="s">
        <v>346</v>
      </c>
      <c r="E24" s="29">
        <v>227500</v>
      </c>
      <c r="F24" s="8"/>
      <c r="G24" s="8"/>
      <c r="H24" s="8" t="s">
        <v>93</v>
      </c>
      <c r="I24" s="74" t="s">
        <v>424</v>
      </c>
      <c r="J24" s="14"/>
    </row>
    <row r="25" spans="1:10" ht="56.25">
      <c r="A25" s="22">
        <v>16</v>
      </c>
      <c r="B25" s="8" t="s">
        <v>471</v>
      </c>
      <c r="C25" s="19" t="s">
        <v>380</v>
      </c>
      <c r="D25" s="8" t="s">
        <v>346</v>
      </c>
      <c r="E25" s="29">
        <v>99900</v>
      </c>
      <c r="F25" s="8"/>
      <c r="G25" s="8"/>
      <c r="H25" s="8" t="s">
        <v>93</v>
      </c>
      <c r="I25" s="74" t="s">
        <v>424</v>
      </c>
      <c r="J25" s="14"/>
    </row>
    <row r="26" spans="1:10" ht="56.25">
      <c r="A26" s="22">
        <v>17</v>
      </c>
      <c r="B26" s="8" t="s">
        <v>471</v>
      </c>
      <c r="C26" s="19" t="s">
        <v>381</v>
      </c>
      <c r="D26" s="8" t="s">
        <v>346</v>
      </c>
      <c r="E26" s="29">
        <v>243700</v>
      </c>
      <c r="F26" s="8"/>
      <c r="G26" s="8"/>
      <c r="H26" s="8" t="s">
        <v>93</v>
      </c>
      <c r="I26" s="74" t="s">
        <v>424</v>
      </c>
      <c r="J26" s="14"/>
    </row>
    <row r="27" spans="1:10" ht="56.25">
      <c r="A27" s="22">
        <v>18</v>
      </c>
      <c r="B27" s="8" t="s">
        <v>471</v>
      </c>
      <c r="C27" s="19" t="s">
        <v>478</v>
      </c>
      <c r="D27" s="8" t="s">
        <v>346</v>
      </c>
      <c r="E27" s="29">
        <v>165000</v>
      </c>
      <c r="F27" s="8"/>
      <c r="G27" s="8"/>
      <c r="H27" s="8" t="s">
        <v>93</v>
      </c>
      <c r="I27" s="74" t="s">
        <v>424</v>
      </c>
      <c r="J27" s="14"/>
    </row>
    <row r="28" spans="1:10" ht="56.25">
      <c r="A28" s="22">
        <v>19</v>
      </c>
      <c r="B28" s="8" t="s">
        <v>471</v>
      </c>
      <c r="C28" s="19" t="s">
        <v>385</v>
      </c>
      <c r="D28" s="8" t="s">
        <v>346</v>
      </c>
      <c r="E28" s="29">
        <v>165000</v>
      </c>
      <c r="F28" s="8"/>
      <c r="G28" s="8"/>
      <c r="H28" s="8" t="s">
        <v>93</v>
      </c>
      <c r="I28" s="74" t="s">
        <v>424</v>
      </c>
      <c r="J28" s="14"/>
    </row>
    <row r="29" spans="1:10" ht="56.25">
      <c r="A29" s="22">
        <v>20</v>
      </c>
      <c r="B29" s="8" t="s">
        <v>471</v>
      </c>
      <c r="C29" s="19" t="s">
        <v>382</v>
      </c>
      <c r="D29" s="8" t="s">
        <v>346</v>
      </c>
      <c r="E29" s="29">
        <v>197000</v>
      </c>
      <c r="F29" s="8"/>
      <c r="G29" s="8"/>
      <c r="H29" s="8" t="s">
        <v>93</v>
      </c>
      <c r="I29" s="74" t="s">
        <v>424</v>
      </c>
      <c r="J29" s="14"/>
    </row>
    <row r="30" spans="1:10" ht="56.25">
      <c r="A30" s="22">
        <v>21</v>
      </c>
      <c r="B30" s="8" t="s">
        <v>471</v>
      </c>
      <c r="C30" s="19" t="s">
        <v>479</v>
      </c>
      <c r="D30" s="8" t="s">
        <v>346</v>
      </c>
      <c r="E30" s="29">
        <v>213000</v>
      </c>
      <c r="F30" s="8"/>
      <c r="G30" s="8"/>
      <c r="H30" s="8" t="s">
        <v>93</v>
      </c>
      <c r="I30" s="74" t="s">
        <v>424</v>
      </c>
      <c r="J30" s="14"/>
    </row>
    <row r="31" spans="1:10" ht="56.25">
      <c r="A31" s="22">
        <v>22</v>
      </c>
      <c r="B31" s="8" t="s">
        <v>471</v>
      </c>
      <c r="C31" s="19" t="s">
        <v>383</v>
      </c>
      <c r="D31" s="8" t="s">
        <v>346</v>
      </c>
      <c r="E31" s="29">
        <v>139000</v>
      </c>
      <c r="F31" s="8"/>
      <c r="G31" s="8"/>
      <c r="H31" s="8" t="s">
        <v>93</v>
      </c>
      <c r="I31" s="74" t="s">
        <v>424</v>
      </c>
      <c r="J31" s="14"/>
    </row>
    <row r="32" spans="1:10" ht="56.25">
      <c r="A32" s="22">
        <v>23</v>
      </c>
      <c r="B32" s="8" t="s">
        <v>471</v>
      </c>
      <c r="C32" s="19" t="s">
        <v>480</v>
      </c>
      <c r="D32" s="8" t="s">
        <v>346</v>
      </c>
      <c r="E32" s="29">
        <v>99000</v>
      </c>
      <c r="F32" s="8"/>
      <c r="G32" s="8"/>
      <c r="H32" s="8" t="s">
        <v>93</v>
      </c>
      <c r="I32" s="74" t="s">
        <v>424</v>
      </c>
      <c r="J32" s="14"/>
    </row>
    <row r="33" spans="1:10" ht="56.25">
      <c r="A33" s="22">
        <v>24</v>
      </c>
      <c r="B33" s="8" t="s">
        <v>471</v>
      </c>
      <c r="C33" s="19" t="s">
        <v>481</v>
      </c>
      <c r="D33" s="8" t="s">
        <v>346</v>
      </c>
      <c r="E33" s="29">
        <v>99600</v>
      </c>
      <c r="F33" s="8"/>
      <c r="G33" s="8"/>
      <c r="H33" s="8" t="s">
        <v>93</v>
      </c>
      <c r="I33" s="74" t="s">
        <v>424</v>
      </c>
      <c r="J33" s="14"/>
    </row>
    <row r="34" spans="1:10" ht="56.25">
      <c r="A34" s="22">
        <v>25</v>
      </c>
      <c r="B34" s="8" t="s">
        <v>471</v>
      </c>
      <c r="C34" s="19" t="s">
        <v>482</v>
      </c>
      <c r="D34" s="8" t="s">
        <v>346</v>
      </c>
      <c r="E34" s="29">
        <v>99500</v>
      </c>
      <c r="F34" s="8"/>
      <c r="G34" s="8"/>
      <c r="H34" s="8" t="s">
        <v>93</v>
      </c>
      <c r="I34" s="74" t="s">
        <v>424</v>
      </c>
      <c r="J34" s="14"/>
    </row>
    <row r="35" spans="1:10" ht="56.25">
      <c r="A35" s="22">
        <v>26</v>
      </c>
      <c r="B35" s="8" t="s">
        <v>471</v>
      </c>
      <c r="C35" s="19" t="s">
        <v>488</v>
      </c>
      <c r="D35" s="8" t="s">
        <v>346</v>
      </c>
      <c r="E35" s="29">
        <v>99700</v>
      </c>
      <c r="F35" s="8"/>
      <c r="G35" s="8"/>
      <c r="H35" s="8" t="s">
        <v>93</v>
      </c>
      <c r="I35" s="74" t="s">
        <v>424</v>
      </c>
      <c r="J35" s="14"/>
    </row>
    <row r="36" spans="1:10" ht="56.25">
      <c r="A36" s="22">
        <v>27</v>
      </c>
      <c r="B36" s="8" t="s">
        <v>471</v>
      </c>
      <c r="C36" s="19" t="s">
        <v>490</v>
      </c>
      <c r="D36" s="8" t="s">
        <v>346</v>
      </c>
      <c r="E36" s="29">
        <v>99400</v>
      </c>
      <c r="F36" s="8"/>
      <c r="G36" s="8"/>
      <c r="H36" s="8" t="s">
        <v>93</v>
      </c>
      <c r="I36" s="74" t="s">
        <v>424</v>
      </c>
      <c r="J36" s="14"/>
    </row>
    <row r="38" spans="1:10">
      <c r="A38" s="24"/>
      <c r="B38" s="25"/>
      <c r="C38" s="26"/>
      <c r="D38" s="25"/>
      <c r="E38" s="27"/>
      <c r="F38" s="25"/>
      <c r="G38" s="25"/>
      <c r="H38" s="25"/>
      <c r="I38" s="24"/>
      <c r="J38" s="28"/>
    </row>
    <row r="39" spans="1:10">
      <c r="A39" s="24"/>
      <c r="B39" s="25"/>
      <c r="C39" s="26"/>
      <c r="D39" s="25"/>
      <c r="E39" s="27"/>
      <c r="F39" s="25"/>
      <c r="G39" s="25"/>
      <c r="H39" s="25"/>
      <c r="I39" s="24"/>
      <c r="J39" s="28"/>
    </row>
    <row r="40" spans="1:10" s="20" customFormat="1">
      <c r="D40" s="248" t="s">
        <v>95</v>
      </c>
      <c r="E40" s="254"/>
    </row>
    <row r="41" spans="1:10">
      <c r="D41" s="30" t="s">
        <v>104</v>
      </c>
    </row>
    <row r="42" spans="1:10">
      <c r="D42" s="30" t="s">
        <v>80</v>
      </c>
    </row>
    <row r="43" spans="1:10">
      <c r="D43" s="30"/>
    </row>
    <row r="44" spans="1:10">
      <c r="D44" s="30"/>
    </row>
    <row r="45" spans="1:10">
      <c r="D45" s="30"/>
    </row>
    <row r="46" spans="1:10">
      <c r="D46" s="30"/>
    </row>
    <row r="47" spans="1:10">
      <c r="D47" s="30"/>
    </row>
    <row r="48" spans="1:10">
      <c r="D48" s="30"/>
    </row>
  </sheetData>
  <mergeCells count="10">
    <mergeCell ref="A2:J2"/>
    <mergeCell ref="A3:J3"/>
    <mergeCell ref="C4:C5"/>
    <mergeCell ref="D4:E4"/>
    <mergeCell ref="F4:G4"/>
    <mergeCell ref="H4:H5"/>
    <mergeCell ref="J4:J5"/>
    <mergeCell ref="A4:A5"/>
    <mergeCell ref="B4:B5"/>
    <mergeCell ref="I4:I5"/>
  </mergeCells>
  <phoneticPr fontId="0" type="noConversion"/>
  <pageMargins left="0.51181102362204722" right="0.47244094488188981" top="0.51181102362204722" bottom="0.43307086614173229" header="0.27559055118110237" footer="0.31496062992125984"/>
  <pageSetup paperSize="9" orientation="landscape" r:id="rId1"/>
  <headerFooter alignWithMargins="0">
    <oddHeader>&amp;Rแผ่นที่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156"/>
  <sheetViews>
    <sheetView tabSelected="1" view="pageBreakPreview" topLeftCell="A130" zoomScaleNormal="100" zoomScaleSheetLayoutView="100" workbookViewId="0">
      <selection activeCell="G139" sqref="G139"/>
    </sheetView>
  </sheetViews>
  <sheetFormatPr defaultRowHeight="18.75"/>
  <cols>
    <col min="1" max="1" width="6.140625" style="30" customWidth="1"/>
    <col min="2" max="2" width="13" style="30" customWidth="1"/>
    <col min="3" max="3" width="25.140625" style="3" customWidth="1"/>
    <col min="4" max="4" width="11" style="30" customWidth="1"/>
    <col min="5" max="5" width="20.85546875" style="34" customWidth="1"/>
    <col min="6" max="6" width="14.85546875" style="23" customWidth="1"/>
    <col min="7" max="7" width="10.5703125" style="30" customWidth="1"/>
    <col min="8" max="8" width="8.140625" style="30" customWidth="1"/>
    <col min="9" max="9" width="11.7109375" style="30" customWidth="1"/>
    <col min="10" max="10" width="12.140625" style="30" customWidth="1"/>
    <col min="11" max="11" width="11.85546875" style="30" customWidth="1"/>
    <col min="12" max="16384" width="9.140625" style="3"/>
  </cols>
  <sheetData>
    <row r="1" spans="1:11">
      <c r="K1" s="30" t="s">
        <v>158</v>
      </c>
    </row>
    <row r="2" spans="1:11" s="35" customFormat="1">
      <c r="A2" s="327" t="s">
        <v>685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1:11" s="35" customFormat="1">
      <c r="A3" s="327" t="s">
        <v>686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</row>
    <row r="4" spans="1:11" s="35" customFormat="1">
      <c r="A4" s="332" t="s">
        <v>116</v>
      </c>
      <c r="B4" s="332" t="s">
        <v>160</v>
      </c>
      <c r="C4" s="332" t="s">
        <v>108</v>
      </c>
      <c r="D4" s="332" t="s">
        <v>118</v>
      </c>
      <c r="E4" s="328" t="s">
        <v>85</v>
      </c>
      <c r="F4" s="329"/>
      <c r="G4" s="330" t="s">
        <v>88</v>
      </c>
      <c r="H4" s="331"/>
      <c r="I4" s="332" t="s">
        <v>90</v>
      </c>
      <c r="J4" s="332" t="s">
        <v>161</v>
      </c>
      <c r="K4" s="332" t="s">
        <v>91</v>
      </c>
    </row>
    <row r="5" spans="1:11" s="35" customFormat="1" ht="37.5">
      <c r="A5" s="314"/>
      <c r="B5" s="314"/>
      <c r="C5" s="314"/>
      <c r="D5" s="314"/>
      <c r="E5" s="32" t="s">
        <v>86</v>
      </c>
      <c r="F5" s="36" t="s">
        <v>109</v>
      </c>
      <c r="G5" s="32" t="s">
        <v>89</v>
      </c>
      <c r="H5" s="37" t="s">
        <v>109</v>
      </c>
      <c r="I5" s="314"/>
      <c r="J5" s="314"/>
      <c r="K5" s="314"/>
    </row>
    <row r="6" spans="1:11" ht="47.25">
      <c r="A6" s="74">
        <v>1</v>
      </c>
      <c r="B6" s="8" t="s">
        <v>687</v>
      </c>
      <c r="C6" s="80" t="s">
        <v>689</v>
      </c>
      <c r="D6" s="8" t="s">
        <v>110</v>
      </c>
      <c r="E6" s="8" t="s">
        <v>353</v>
      </c>
      <c r="F6" s="267">
        <v>50000</v>
      </c>
      <c r="G6" s="8"/>
      <c r="H6" s="8"/>
      <c r="I6" s="7" t="s">
        <v>734</v>
      </c>
      <c r="J6" s="74" t="s">
        <v>691</v>
      </c>
      <c r="K6" s="14" t="s">
        <v>77</v>
      </c>
    </row>
    <row r="7" spans="1:11" ht="47.25">
      <c r="A7" s="74">
        <v>2</v>
      </c>
      <c r="B7" s="8" t="s">
        <v>687</v>
      </c>
      <c r="C7" s="80" t="s">
        <v>690</v>
      </c>
      <c r="D7" s="8" t="s">
        <v>110</v>
      </c>
      <c r="E7" s="8" t="s">
        <v>353</v>
      </c>
      <c r="F7" s="267">
        <v>40000</v>
      </c>
      <c r="G7" s="8"/>
      <c r="H7" s="8"/>
      <c r="I7" s="7" t="s">
        <v>734</v>
      </c>
      <c r="J7" s="74" t="s">
        <v>691</v>
      </c>
      <c r="K7" s="14" t="s">
        <v>77</v>
      </c>
    </row>
    <row r="8" spans="1:11" ht="47.25">
      <c r="A8" s="74">
        <v>3</v>
      </c>
      <c r="B8" s="8" t="s">
        <v>687</v>
      </c>
      <c r="C8" s="19" t="s">
        <v>708</v>
      </c>
      <c r="D8" s="8" t="s">
        <v>110</v>
      </c>
      <c r="E8" s="8" t="s">
        <v>353</v>
      </c>
      <c r="F8" s="267">
        <v>10000</v>
      </c>
      <c r="G8" s="8"/>
      <c r="H8" s="8"/>
      <c r="I8" s="7" t="s">
        <v>734</v>
      </c>
      <c r="J8" s="74" t="s">
        <v>691</v>
      </c>
      <c r="K8" s="14" t="s">
        <v>77</v>
      </c>
    </row>
    <row r="9" spans="1:11" ht="47.25">
      <c r="A9" s="74">
        <v>4</v>
      </c>
      <c r="B9" s="8" t="s">
        <v>687</v>
      </c>
      <c r="C9" s="19" t="s">
        <v>692</v>
      </c>
      <c r="D9" s="8" t="s">
        <v>110</v>
      </c>
      <c r="E9" s="8" t="s">
        <v>353</v>
      </c>
      <c r="F9" s="267">
        <v>15000</v>
      </c>
      <c r="G9" s="8"/>
      <c r="H9" s="8"/>
      <c r="I9" s="7" t="s">
        <v>734</v>
      </c>
      <c r="J9" s="74" t="s">
        <v>691</v>
      </c>
      <c r="K9" s="14" t="s">
        <v>77</v>
      </c>
    </row>
    <row r="10" spans="1:11" ht="47.25">
      <c r="A10" s="74">
        <v>5</v>
      </c>
      <c r="B10" s="8" t="s">
        <v>687</v>
      </c>
      <c r="C10" s="19" t="s">
        <v>693</v>
      </c>
      <c r="D10" s="8" t="s">
        <v>110</v>
      </c>
      <c r="E10" s="8" t="s">
        <v>353</v>
      </c>
      <c r="F10" s="267">
        <v>200000</v>
      </c>
      <c r="G10" s="8"/>
      <c r="H10" s="8"/>
      <c r="I10" s="7" t="s">
        <v>734</v>
      </c>
      <c r="J10" s="74" t="s">
        <v>691</v>
      </c>
      <c r="K10" s="14" t="s">
        <v>77</v>
      </c>
    </row>
    <row r="11" spans="1:11" ht="47.25">
      <c r="A11" s="74">
        <v>6</v>
      </c>
      <c r="B11" s="8" t="s">
        <v>687</v>
      </c>
      <c r="C11" s="19" t="s">
        <v>694</v>
      </c>
      <c r="D11" s="8" t="s">
        <v>110</v>
      </c>
      <c r="E11" s="8" t="s">
        <v>353</v>
      </c>
      <c r="F11" s="267">
        <v>50000</v>
      </c>
      <c r="G11" s="8"/>
      <c r="H11" s="8"/>
      <c r="I11" s="7" t="s">
        <v>734</v>
      </c>
      <c r="J11" s="74" t="s">
        <v>691</v>
      </c>
      <c r="K11" s="14" t="s">
        <v>77</v>
      </c>
    </row>
    <row r="12" spans="1:11" ht="47.25">
      <c r="A12" s="74">
        <v>7</v>
      </c>
      <c r="B12" s="8" t="s">
        <v>687</v>
      </c>
      <c r="C12" s="19" t="s">
        <v>696</v>
      </c>
      <c r="D12" s="8" t="s">
        <v>110</v>
      </c>
      <c r="E12" s="8" t="s">
        <v>353</v>
      </c>
      <c r="F12" s="267">
        <v>25000</v>
      </c>
      <c r="G12" s="8"/>
      <c r="H12" s="8"/>
      <c r="I12" s="7" t="s">
        <v>734</v>
      </c>
      <c r="J12" s="74" t="s">
        <v>691</v>
      </c>
      <c r="K12" s="14" t="s">
        <v>77</v>
      </c>
    </row>
    <row r="13" spans="1:11" ht="47.25">
      <c r="A13" s="74">
        <v>8</v>
      </c>
      <c r="B13" s="8" t="s">
        <v>687</v>
      </c>
      <c r="C13" s="19" t="s">
        <v>709</v>
      </c>
      <c r="D13" s="8" t="s">
        <v>110</v>
      </c>
      <c r="E13" s="8" t="s">
        <v>353</v>
      </c>
      <c r="F13" s="267">
        <v>7900</v>
      </c>
      <c r="G13" s="8"/>
      <c r="H13" s="8"/>
      <c r="I13" s="7" t="s">
        <v>734</v>
      </c>
      <c r="J13" s="74" t="s">
        <v>691</v>
      </c>
      <c r="K13" s="14" t="s">
        <v>77</v>
      </c>
    </row>
    <row r="14" spans="1:11" ht="47.25">
      <c r="A14" s="74">
        <v>9</v>
      </c>
      <c r="B14" s="8" t="s">
        <v>687</v>
      </c>
      <c r="C14" s="19" t="s">
        <v>710</v>
      </c>
      <c r="D14" s="8" t="s">
        <v>110</v>
      </c>
      <c r="E14" s="8" t="s">
        <v>353</v>
      </c>
      <c r="F14" s="267">
        <v>15000</v>
      </c>
      <c r="G14" s="8"/>
      <c r="H14" s="8"/>
      <c r="I14" s="7" t="s">
        <v>734</v>
      </c>
      <c r="J14" s="74" t="s">
        <v>691</v>
      </c>
      <c r="K14" s="14" t="s">
        <v>77</v>
      </c>
    </row>
    <row r="15" spans="1:11" ht="47.25">
      <c r="A15" s="74">
        <v>10</v>
      </c>
      <c r="B15" s="8" t="s">
        <v>687</v>
      </c>
      <c r="C15" s="19" t="s">
        <v>695</v>
      </c>
      <c r="D15" s="8" t="s">
        <v>110</v>
      </c>
      <c r="E15" s="8" t="s">
        <v>353</v>
      </c>
      <c r="F15" s="267">
        <v>25000</v>
      </c>
      <c r="G15" s="8"/>
      <c r="H15" s="8"/>
      <c r="I15" s="7" t="s">
        <v>734</v>
      </c>
      <c r="J15" s="74" t="s">
        <v>691</v>
      </c>
      <c r="K15" s="14" t="s">
        <v>77</v>
      </c>
    </row>
    <row r="16" spans="1:11" ht="47.25">
      <c r="A16" s="74">
        <v>11</v>
      </c>
      <c r="B16" s="8" t="s">
        <v>687</v>
      </c>
      <c r="C16" s="19" t="s">
        <v>700</v>
      </c>
      <c r="D16" s="8" t="s">
        <v>110</v>
      </c>
      <c r="E16" s="8" t="s">
        <v>353</v>
      </c>
      <c r="F16" s="267">
        <v>80000</v>
      </c>
      <c r="G16" s="8"/>
      <c r="H16" s="8"/>
      <c r="I16" s="7" t="s">
        <v>734</v>
      </c>
      <c r="J16" s="74" t="s">
        <v>691</v>
      </c>
      <c r="K16" s="14" t="s">
        <v>77</v>
      </c>
    </row>
    <row r="17" spans="1:11" ht="47.25">
      <c r="A17" s="74">
        <v>12</v>
      </c>
      <c r="B17" s="8" t="s">
        <v>687</v>
      </c>
      <c r="C17" s="19" t="s">
        <v>701</v>
      </c>
      <c r="D17" s="8" t="s">
        <v>110</v>
      </c>
      <c r="E17" s="8" t="s">
        <v>353</v>
      </c>
      <c r="F17" s="267">
        <v>20000</v>
      </c>
      <c r="G17" s="8"/>
      <c r="H17" s="8"/>
      <c r="I17" s="7" t="s">
        <v>734</v>
      </c>
      <c r="J17" s="74" t="s">
        <v>691</v>
      </c>
      <c r="K17" s="14" t="s">
        <v>77</v>
      </c>
    </row>
    <row r="18" spans="1:11" ht="47.25">
      <c r="A18" s="74">
        <v>13</v>
      </c>
      <c r="B18" s="8" t="s">
        <v>687</v>
      </c>
      <c r="C18" s="19" t="s">
        <v>702</v>
      </c>
      <c r="D18" s="8" t="s">
        <v>110</v>
      </c>
      <c r="E18" s="8" t="s">
        <v>353</v>
      </c>
      <c r="F18" s="267">
        <v>10000</v>
      </c>
      <c r="G18" s="8"/>
      <c r="H18" s="8"/>
      <c r="I18" s="7" t="s">
        <v>734</v>
      </c>
      <c r="J18" s="74" t="s">
        <v>691</v>
      </c>
      <c r="K18" s="14" t="s">
        <v>77</v>
      </c>
    </row>
    <row r="19" spans="1:11" ht="47.25">
      <c r="A19" s="74">
        <v>14</v>
      </c>
      <c r="B19" s="8" t="s">
        <v>687</v>
      </c>
      <c r="C19" s="19" t="s">
        <v>703</v>
      </c>
      <c r="D19" s="8" t="s">
        <v>110</v>
      </c>
      <c r="E19" s="8" t="s">
        <v>353</v>
      </c>
      <c r="F19" s="267">
        <v>50000</v>
      </c>
      <c r="G19" s="8"/>
      <c r="H19" s="8"/>
      <c r="I19" s="7" t="s">
        <v>734</v>
      </c>
      <c r="J19" s="74" t="s">
        <v>691</v>
      </c>
      <c r="K19" s="14" t="s">
        <v>77</v>
      </c>
    </row>
    <row r="20" spans="1:11" ht="47.25">
      <c r="A20" s="74">
        <v>15</v>
      </c>
      <c r="B20" s="8" t="s">
        <v>687</v>
      </c>
      <c r="C20" s="19" t="s">
        <v>704</v>
      </c>
      <c r="D20" s="8" t="s">
        <v>110</v>
      </c>
      <c r="E20" s="8" t="s">
        <v>353</v>
      </c>
      <c r="F20" s="267">
        <v>300000</v>
      </c>
      <c r="G20" s="8"/>
      <c r="H20" s="8"/>
      <c r="I20" s="7" t="s">
        <v>734</v>
      </c>
      <c r="J20" s="74" t="s">
        <v>691</v>
      </c>
      <c r="K20" s="14" t="s">
        <v>77</v>
      </c>
    </row>
    <row r="21" spans="1:11" ht="47.25">
      <c r="A21" s="74">
        <v>16</v>
      </c>
      <c r="B21" s="8" t="s">
        <v>687</v>
      </c>
      <c r="C21" s="19" t="s">
        <v>705</v>
      </c>
      <c r="D21" s="8" t="s">
        <v>110</v>
      </c>
      <c r="E21" s="8" t="s">
        <v>353</v>
      </c>
      <c r="F21" s="267">
        <v>300000</v>
      </c>
      <c r="G21" s="8"/>
      <c r="H21" s="8"/>
      <c r="I21" s="7" t="s">
        <v>734</v>
      </c>
      <c r="J21" s="74" t="s">
        <v>691</v>
      </c>
      <c r="K21" s="14" t="s">
        <v>77</v>
      </c>
    </row>
    <row r="22" spans="1:11" ht="47.25">
      <c r="A22" s="74">
        <v>17</v>
      </c>
      <c r="B22" s="8" t="s">
        <v>687</v>
      </c>
      <c r="C22" s="19" t="s">
        <v>706</v>
      </c>
      <c r="D22" s="8" t="s">
        <v>110</v>
      </c>
      <c r="E22" s="8" t="s">
        <v>353</v>
      </c>
      <c r="F22" s="267">
        <v>50000</v>
      </c>
      <c r="G22" s="8"/>
      <c r="H22" s="8"/>
      <c r="I22" s="7" t="s">
        <v>734</v>
      </c>
      <c r="J22" s="74" t="s">
        <v>691</v>
      </c>
      <c r="K22" s="14" t="s">
        <v>77</v>
      </c>
    </row>
    <row r="23" spans="1:11" ht="47.25">
      <c r="A23" s="74">
        <v>18</v>
      </c>
      <c r="B23" s="8" t="s">
        <v>687</v>
      </c>
      <c r="C23" s="19" t="s">
        <v>707</v>
      </c>
      <c r="D23" s="8" t="s">
        <v>110</v>
      </c>
      <c r="E23" s="8" t="s">
        <v>353</v>
      </c>
      <c r="F23" s="267">
        <v>10000</v>
      </c>
      <c r="G23" s="8"/>
      <c r="H23" s="8"/>
      <c r="I23" s="7" t="s">
        <v>734</v>
      </c>
      <c r="J23" s="74" t="s">
        <v>691</v>
      </c>
      <c r="K23" s="14" t="s">
        <v>77</v>
      </c>
    </row>
    <row r="24" spans="1:11" ht="47.25">
      <c r="A24" s="74">
        <v>19</v>
      </c>
      <c r="B24" s="8" t="s">
        <v>687</v>
      </c>
      <c r="C24" s="19" t="s">
        <v>712</v>
      </c>
      <c r="D24" s="8" t="s">
        <v>350</v>
      </c>
      <c r="E24" s="8" t="s">
        <v>711</v>
      </c>
      <c r="F24" s="267">
        <v>72000</v>
      </c>
      <c r="G24" s="8"/>
      <c r="H24" s="8"/>
      <c r="I24" s="7" t="s">
        <v>734</v>
      </c>
      <c r="J24" s="74" t="s">
        <v>691</v>
      </c>
      <c r="K24" s="14" t="s">
        <v>77</v>
      </c>
    </row>
    <row r="25" spans="1:11" ht="47.25">
      <c r="A25" s="74">
        <v>20</v>
      </c>
      <c r="B25" s="8" t="s">
        <v>687</v>
      </c>
      <c r="C25" s="19" t="s">
        <v>713</v>
      </c>
      <c r="D25" s="8" t="s">
        <v>350</v>
      </c>
      <c r="E25" s="8" t="s">
        <v>711</v>
      </c>
      <c r="F25" s="267">
        <v>20000</v>
      </c>
      <c r="G25" s="8"/>
      <c r="H25" s="8"/>
      <c r="I25" s="7" t="s">
        <v>734</v>
      </c>
      <c r="J25" s="74" t="s">
        <v>691</v>
      </c>
      <c r="K25" s="14" t="s">
        <v>77</v>
      </c>
    </row>
    <row r="26" spans="1:11" ht="47.25">
      <c r="A26" s="74">
        <v>21</v>
      </c>
      <c r="B26" s="8" t="s">
        <v>687</v>
      </c>
      <c r="C26" s="19" t="s">
        <v>714</v>
      </c>
      <c r="D26" s="8" t="s">
        <v>350</v>
      </c>
      <c r="E26" s="8" t="s">
        <v>711</v>
      </c>
      <c r="F26" s="267">
        <v>5000</v>
      </c>
      <c r="G26" s="8"/>
      <c r="H26" s="8"/>
      <c r="I26" s="7" t="s">
        <v>734</v>
      </c>
      <c r="J26" s="74" t="s">
        <v>691</v>
      </c>
      <c r="K26" s="14" t="s">
        <v>77</v>
      </c>
    </row>
    <row r="27" spans="1:11" ht="47.25">
      <c r="A27" s="74">
        <v>22</v>
      </c>
      <c r="B27" s="8" t="s">
        <v>687</v>
      </c>
      <c r="C27" s="19" t="s">
        <v>715</v>
      </c>
      <c r="D27" s="8" t="s">
        <v>350</v>
      </c>
      <c r="E27" s="8" t="s">
        <v>711</v>
      </c>
      <c r="F27" s="267">
        <v>50000</v>
      </c>
      <c r="G27" s="8"/>
      <c r="H27" s="8"/>
      <c r="I27" s="7" t="s">
        <v>734</v>
      </c>
      <c r="J27" s="74" t="s">
        <v>691</v>
      </c>
      <c r="K27" s="14" t="s">
        <v>77</v>
      </c>
    </row>
    <row r="28" spans="1:11" ht="47.25">
      <c r="A28" s="74">
        <v>23</v>
      </c>
      <c r="B28" s="8" t="s">
        <v>687</v>
      </c>
      <c r="C28" s="19" t="s">
        <v>716</v>
      </c>
      <c r="D28" s="8" t="s">
        <v>350</v>
      </c>
      <c r="E28" s="8" t="s">
        <v>711</v>
      </c>
      <c r="F28" s="267">
        <v>84000</v>
      </c>
      <c r="G28" s="8"/>
      <c r="H28" s="8"/>
      <c r="I28" s="7" t="s">
        <v>734</v>
      </c>
      <c r="J28" s="74" t="s">
        <v>691</v>
      </c>
      <c r="K28" s="14" t="s">
        <v>77</v>
      </c>
    </row>
    <row r="29" spans="1:11" ht="47.25">
      <c r="A29" s="74">
        <v>24</v>
      </c>
      <c r="B29" s="8" t="s">
        <v>687</v>
      </c>
      <c r="C29" s="19" t="s">
        <v>717</v>
      </c>
      <c r="D29" s="8" t="s">
        <v>350</v>
      </c>
      <c r="E29" s="8" t="s">
        <v>711</v>
      </c>
      <c r="F29" s="267">
        <v>84000</v>
      </c>
      <c r="G29" s="8"/>
      <c r="H29" s="8"/>
      <c r="I29" s="7" t="s">
        <v>734</v>
      </c>
      <c r="J29" s="74" t="s">
        <v>691</v>
      </c>
      <c r="K29" s="14" t="s">
        <v>77</v>
      </c>
    </row>
    <row r="30" spans="1:11" ht="47.25">
      <c r="A30" s="74">
        <v>25</v>
      </c>
      <c r="B30" s="8" t="s">
        <v>687</v>
      </c>
      <c r="C30" s="19" t="s">
        <v>718</v>
      </c>
      <c r="D30" s="8" t="s">
        <v>350</v>
      </c>
      <c r="E30" s="8" t="s">
        <v>711</v>
      </c>
      <c r="F30" s="267">
        <v>15000</v>
      </c>
      <c r="G30" s="8"/>
      <c r="H30" s="8"/>
      <c r="I30" s="7" t="s">
        <v>734</v>
      </c>
      <c r="J30" s="74" t="s">
        <v>691</v>
      </c>
      <c r="K30" s="14" t="s">
        <v>77</v>
      </c>
    </row>
    <row r="31" spans="1:11" ht="47.25">
      <c r="A31" s="74">
        <v>26</v>
      </c>
      <c r="B31" s="8" t="s">
        <v>687</v>
      </c>
      <c r="C31" s="19" t="s">
        <v>700</v>
      </c>
      <c r="D31" s="8" t="s">
        <v>350</v>
      </c>
      <c r="E31" s="8" t="s">
        <v>711</v>
      </c>
      <c r="F31" s="267">
        <v>50000</v>
      </c>
      <c r="G31" s="8"/>
      <c r="H31" s="8"/>
      <c r="I31" s="7" t="s">
        <v>734</v>
      </c>
      <c r="J31" s="74" t="s">
        <v>691</v>
      </c>
      <c r="K31" s="14" t="s">
        <v>77</v>
      </c>
    </row>
    <row r="32" spans="1:11" ht="47.25">
      <c r="A32" s="74">
        <v>27</v>
      </c>
      <c r="B32" s="8" t="s">
        <v>687</v>
      </c>
      <c r="C32" s="19" t="s">
        <v>719</v>
      </c>
      <c r="D32" s="8" t="s">
        <v>350</v>
      </c>
      <c r="E32" s="8" t="s">
        <v>711</v>
      </c>
      <c r="F32" s="267">
        <v>5000</v>
      </c>
      <c r="G32" s="8"/>
      <c r="H32" s="8"/>
      <c r="I32" s="7" t="s">
        <v>734</v>
      </c>
      <c r="J32" s="74" t="s">
        <v>691</v>
      </c>
      <c r="K32" s="14" t="s">
        <v>77</v>
      </c>
    </row>
    <row r="33" spans="1:11" ht="47.25">
      <c r="A33" s="74">
        <v>28</v>
      </c>
      <c r="B33" s="8" t="s">
        <v>687</v>
      </c>
      <c r="C33" s="19" t="s">
        <v>720</v>
      </c>
      <c r="D33" s="8" t="s">
        <v>350</v>
      </c>
      <c r="E33" s="8" t="s">
        <v>711</v>
      </c>
      <c r="F33" s="267">
        <v>20000</v>
      </c>
      <c r="G33" s="8"/>
      <c r="H33" s="8"/>
      <c r="I33" s="7" t="s">
        <v>734</v>
      </c>
      <c r="J33" s="74" t="s">
        <v>691</v>
      </c>
      <c r="K33" s="14" t="s">
        <v>77</v>
      </c>
    </row>
    <row r="34" spans="1:11" ht="47.25">
      <c r="A34" s="74">
        <v>29</v>
      </c>
      <c r="B34" s="8" t="s">
        <v>687</v>
      </c>
      <c r="C34" s="19" t="s">
        <v>690</v>
      </c>
      <c r="D34" s="8" t="s">
        <v>699</v>
      </c>
      <c r="E34" s="8" t="s">
        <v>711</v>
      </c>
      <c r="F34" s="267">
        <v>60000</v>
      </c>
      <c r="G34" s="8"/>
      <c r="H34" s="8"/>
      <c r="I34" s="7" t="s">
        <v>734</v>
      </c>
      <c r="J34" s="74" t="s">
        <v>691</v>
      </c>
      <c r="K34" s="14" t="s">
        <v>77</v>
      </c>
    </row>
    <row r="35" spans="1:11" ht="47.25">
      <c r="A35" s="74">
        <v>30</v>
      </c>
      <c r="B35" s="8" t="s">
        <v>687</v>
      </c>
      <c r="C35" s="19" t="s">
        <v>721</v>
      </c>
      <c r="D35" s="8" t="s">
        <v>698</v>
      </c>
      <c r="E35" s="8" t="s">
        <v>711</v>
      </c>
      <c r="F35" s="267">
        <v>20000</v>
      </c>
      <c r="G35" s="8"/>
      <c r="H35" s="8"/>
      <c r="I35" s="7" t="s">
        <v>734</v>
      </c>
      <c r="J35" s="74" t="s">
        <v>691</v>
      </c>
      <c r="K35" s="14" t="s">
        <v>77</v>
      </c>
    </row>
    <row r="36" spans="1:11" ht="47.25">
      <c r="A36" s="74">
        <v>31</v>
      </c>
      <c r="B36" s="8" t="s">
        <v>687</v>
      </c>
      <c r="C36" s="19" t="s">
        <v>696</v>
      </c>
      <c r="D36" s="8" t="s">
        <v>350</v>
      </c>
      <c r="E36" s="8" t="s">
        <v>711</v>
      </c>
      <c r="F36" s="267">
        <v>22000</v>
      </c>
      <c r="G36" s="8"/>
      <c r="H36" s="8"/>
      <c r="I36" s="7" t="s">
        <v>734</v>
      </c>
      <c r="J36" s="74" t="s">
        <v>691</v>
      </c>
      <c r="K36" s="14" t="s">
        <v>77</v>
      </c>
    </row>
    <row r="37" spans="1:11" ht="47.25">
      <c r="A37" s="74">
        <v>32</v>
      </c>
      <c r="B37" s="8" t="s">
        <v>687</v>
      </c>
      <c r="C37" s="19" t="s">
        <v>697</v>
      </c>
      <c r="D37" s="8" t="s">
        <v>350</v>
      </c>
      <c r="E37" s="8" t="s">
        <v>711</v>
      </c>
      <c r="F37" s="267">
        <v>7900</v>
      </c>
      <c r="G37" s="8"/>
      <c r="H37" s="8"/>
      <c r="I37" s="7" t="s">
        <v>734</v>
      </c>
      <c r="J37" s="74" t="s">
        <v>691</v>
      </c>
      <c r="K37" s="14" t="s">
        <v>77</v>
      </c>
    </row>
    <row r="38" spans="1:11" ht="47.25">
      <c r="A38" s="74">
        <v>33</v>
      </c>
      <c r="B38" s="8" t="s">
        <v>687</v>
      </c>
      <c r="C38" s="19" t="s">
        <v>722</v>
      </c>
      <c r="D38" s="7" t="s">
        <v>350</v>
      </c>
      <c r="E38" s="8" t="s">
        <v>711</v>
      </c>
      <c r="F38" s="310">
        <v>10000</v>
      </c>
      <c r="G38" s="8"/>
      <c r="H38" s="8"/>
      <c r="I38" s="7" t="s">
        <v>734</v>
      </c>
      <c r="J38" s="74" t="s">
        <v>691</v>
      </c>
      <c r="K38" s="14" t="s">
        <v>77</v>
      </c>
    </row>
    <row r="39" spans="1:11" ht="47.25">
      <c r="A39" s="74">
        <v>34</v>
      </c>
      <c r="B39" s="8" t="s">
        <v>687</v>
      </c>
      <c r="C39" s="80" t="s">
        <v>723</v>
      </c>
      <c r="D39" s="8" t="s">
        <v>110</v>
      </c>
      <c r="E39" s="8" t="s">
        <v>353</v>
      </c>
      <c r="F39" s="267">
        <v>50000</v>
      </c>
      <c r="G39" s="8"/>
      <c r="H39" s="8"/>
      <c r="I39" s="7" t="s">
        <v>734</v>
      </c>
      <c r="J39" s="74" t="s">
        <v>691</v>
      </c>
      <c r="K39" s="14" t="s">
        <v>77</v>
      </c>
    </row>
    <row r="40" spans="1:11" ht="47.25">
      <c r="A40" s="74">
        <v>35</v>
      </c>
      <c r="B40" s="8" t="s">
        <v>687</v>
      </c>
      <c r="C40" s="80" t="s">
        <v>724</v>
      </c>
      <c r="D40" s="8" t="s">
        <v>110</v>
      </c>
      <c r="E40" s="8" t="s">
        <v>364</v>
      </c>
      <c r="F40" s="267">
        <v>100000</v>
      </c>
      <c r="G40" s="8"/>
      <c r="H40" s="8"/>
      <c r="I40" s="7" t="s">
        <v>734</v>
      </c>
      <c r="J40" s="74" t="s">
        <v>691</v>
      </c>
      <c r="K40" s="14" t="s">
        <v>77</v>
      </c>
    </row>
    <row r="41" spans="1:11" ht="47.25">
      <c r="A41" s="74">
        <v>36</v>
      </c>
      <c r="B41" s="8" t="s">
        <v>687</v>
      </c>
      <c r="C41" s="19" t="s">
        <v>725</v>
      </c>
      <c r="D41" s="8" t="s">
        <v>110</v>
      </c>
      <c r="E41" s="8" t="s">
        <v>373</v>
      </c>
      <c r="F41" s="267">
        <v>10000</v>
      </c>
      <c r="G41" s="8"/>
      <c r="H41" s="8"/>
      <c r="I41" s="7" t="s">
        <v>734</v>
      </c>
      <c r="J41" s="74" t="s">
        <v>691</v>
      </c>
      <c r="K41" s="14" t="s">
        <v>77</v>
      </c>
    </row>
    <row r="42" spans="1:11" ht="56.25">
      <c r="A42" s="74">
        <v>37</v>
      </c>
      <c r="B42" s="8" t="s">
        <v>687</v>
      </c>
      <c r="C42" s="19" t="s">
        <v>726</v>
      </c>
      <c r="D42" s="8" t="s">
        <v>417</v>
      </c>
      <c r="E42" s="8" t="s">
        <v>727</v>
      </c>
      <c r="F42" s="267">
        <v>420000</v>
      </c>
      <c r="G42" s="8"/>
      <c r="H42" s="8"/>
      <c r="I42" s="7" t="s">
        <v>734</v>
      </c>
      <c r="J42" s="74" t="s">
        <v>691</v>
      </c>
      <c r="K42" s="14" t="s">
        <v>77</v>
      </c>
    </row>
    <row r="43" spans="1:11" ht="47.25">
      <c r="A43" s="74">
        <v>38</v>
      </c>
      <c r="B43" s="8" t="s">
        <v>687</v>
      </c>
      <c r="C43" s="19" t="s">
        <v>715</v>
      </c>
      <c r="D43" s="8" t="s">
        <v>417</v>
      </c>
      <c r="E43" s="8" t="s">
        <v>727</v>
      </c>
      <c r="F43" s="267">
        <v>10000</v>
      </c>
      <c r="G43" s="8"/>
      <c r="H43" s="8"/>
      <c r="I43" s="7" t="s">
        <v>734</v>
      </c>
      <c r="J43" s="74" t="s">
        <v>691</v>
      </c>
      <c r="K43" s="14" t="s">
        <v>77</v>
      </c>
    </row>
    <row r="44" spans="1:11" ht="47.25">
      <c r="A44" s="74">
        <v>39</v>
      </c>
      <c r="B44" s="8" t="s">
        <v>687</v>
      </c>
      <c r="C44" s="19" t="s">
        <v>700</v>
      </c>
      <c r="D44" s="8" t="s">
        <v>417</v>
      </c>
      <c r="E44" s="8" t="s">
        <v>727</v>
      </c>
      <c r="F44" s="267">
        <v>100000</v>
      </c>
      <c r="G44" s="8"/>
      <c r="H44" s="8"/>
      <c r="I44" s="7" t="s">
        <v>734</v>
      </c>
      <c r="J44" s="74" t="s">
        <v>691</v>
      </c>
      <c r="K44" s="14" t="s">
        <v>77</v>
      </c>
    </row>
    <row r="45" spans="1:11" ht="47.25">
      <c r="A45" s="74">
        <v>40</v>
      </c>
      <c r="B45" s="8" t="s">
        <v>687</v>
      </c>
      <c r="C45" s="19" t="s">
        <v>728</v>
      </c>
      <c r="D45" s="8" t="s">
        <v>417</v>
      </c>
      <c r="E45" s="8" t="s">
        <v>727</v>
      </c>
      <c r="F45" s="267">
        <v>30000</v>
      </c>
      <c r="G45" s="8"/>
      <c r="H45" s="8"/>
      <c r="I45" s="7" t="s">
        <v>734</v>
      </c>
      <c r="J45" s="74" t="s">
        <v>691</v>
      </c>
      <c r="K45" s="14" t="s">
        <v>77</v>
      </c>
    </row>
    <row r="46" spans="1:11" ht="47.25">
      <c r="A46" s="74">
        <v>41</v>
      </c>
      <c r="B46" s="8" t="s">
        <v>687</v>
      </c>
      <c r="C46" s="19" t="s">
        <v>729</v>
      </c>
      <c r="D46" s="8" t="s">
        <v>417</v>
      </c>
      <c r="E46" s="8" t="s">
        <v>727</v>
      </c>
      <c r="F46" s="267">
        <v>100000</v>
      </c>
      <c r="G46" s="8"/>
      <c r="H46" s="8"/>
      <c r="I46" s="7" t="s">
        <v>734</v>
      </c>
      <c r="J46" s="74" t="s">
        <v>691</v>
      </c>
      <c r="K46" s="14" t="s">
        <v>77</v>
      </c>
    </row>
    <row r="47" spans="1:11" ht="47.25">
      <c r="A47" s="74">
        <v>42</v>
      </c>
      <c r="B47" s="8" t="s">
        <v>687</v>
      </c>
      <c r="C47" s="19" t="s">
        <v>730</v>
      </c>
      <c r="D47" s="8" t="s">
        <v>417</v>
      </c>
      <c r="E47" s="8" t="s">
        <v>727</v>
      </c>
      <c r="F47" s="267">
        <v>10000</v>
      </c>
      <c r="G47" s="8"/>
      <c r="H47" s="8"/>
      <c r="I47" s="7" t="s">
        <v>734</v>
      </c>
      <c r="J47" s="74" t="s">
        <v>691</v>
      </c>
      <c r="K47" s="14" t="s">
        <v>77</v>
      </c>
    </row>
    <row r="48" spans="1:11" ht="47.25">
      <c r="A48" s="74">
        <v>43</v>
      </c>
      <c r="B48" s="8" t="s">
        <v>687</v>
      </c>
      <c r="C48" s="80" t="s">
        <v>690</v>
      </c>
      <c r="D48" s="8" t="s">
        <v>417</v>
      </c>
      <c r="E48" s="8" t="s">
        <v>727</v>
      </c>
      <c r="F48" s="267">
        <v>33000</v>
      </c>
      <c r="G48" s="8"/>
      <c r="H48" s="8"/>
      <c r="I48" s="7" t="s">
        <v>734</v>
      </c>
      <c r="J48" s="74" t="s">
        <v>691</v>
      </c>
      <c r="K48" s="14" t="s">
        <v>77</v>
      </c>
    </row>
    <row r="49" spans="1:11" ht="47.25">
      <c r="A49" s="74">
        <v>44</v>
      </c>
      <c r="B49" s="8" t="s">
        <v>687</v>
      </c>
      <c r="C49" s="19" t="s">
        <v>731</v>
      </c>
      <c r="D49" s="8" t="s">
        <v>417</v>
      </c>
      <c r="E49" s="8" t="s">
        <v>727</v>
      </c>
      <c r="F49" s="267">
        <v>10000</v>
      </c>
      <c r="G49" s="8"/>
      <c r="H49" s="8"/>
      <c r="I49" s="7" t="s">
        <v>734</v>
      </c>
      <c r="J49" s="74" t="s">
        <v>691</v>
      </c>
      <c r="K49" s="14" t="s">
        <v>77</v>
      </c>
    </row>
    <row r="50" spans="1:11" ht="47.25">
      <c r="A50" s="74">
        <v>45</v>
      </c>
      <c r="B50" s="8" t="s">
        <v>687</v>
      </c>
      <c r="C50" s="19" t="s">
        <v>692</v>
      </c>
      <c r="D50" s="8" t="s">
        <v>417</v>
      </c>
      <c r="E50" s="8" t="s">
        <v>727</v>
      </c>
      <c r="F50" s="267">
        <v>50000</v>
      </c>
      <c r="G50" s="8"/>
      <c r="H50" s="8"/>
      <c r="I50" s="7" t="s">
        <v>734</v>
      </c>
      <c r="J50" s="74" t="s">
        <v>691</v>
      </c>
      <c r="K50" s="14" t="s">
        <v>77</v>
      </c>
    </row>
    <row r="51" spans="1:11" ht="47.25">
      <c r="A51" s="74">
        <v>46</v>
      </c>
      <c r="B51" s="8" t="s">
        <v>687</v>
      </c>
      <c r="C51" s="19" t="s">
        <v>732</v>
      </c>
      <c r="D51" s="8" t="s">
        <v>844</v>
      </c>
      <c r="E51" s="8" t="s">
        <v>727</v>
      </c>
      <c r="F51" s="267">
        <v>56100</v>
      </c>
      <c r="G51" s="8"/>
      <c r="H51" s="8"/>
      <c r="I51" s="7" t="s">
        <v>734</v>
      </c>
      <c r="J51" s="74" t="s">
        <v>691</v>
      </c>
      <c r="K51" s="14" t="s">
        <v>77</v>
      </c>
    </row>
    <row r="52" spans="1:11" ht="56.25">
      <c r="A52" s="22">
        <v>47</v>
      </c>
      <c r="B52" s="8" t="s">
        <v>687</v>
      </c>
      <c r="C52" s="16" t="s">
        <v>733</v>
      </c>
      <c r="D52" s="8" t="s">
        <v>417</v>
      </c>
      <c r="E52" s="8" t="s">
        <v>727</v>
      </c>
      <c r="F52" s="310">
        <v>70000</v>
      </c>
      <c r="G52" s="8"/>
      <c r="H52" s="8"/>
      <c r="I52" s="8" t="s">
        <v>734</v>
      </c>
      <c r="J52" s="74" t="s">
        <v>691</v>
      </c>
      <c r="K52" s="14" t="s">
        <v>77</v>
      </c>
    </row>
    <row r="53" spans="1:11" ht="47.25">
      <c r="A53" s="74">
        <v>48</v>
      </c>
      <c r="B53" s="8" t="s">
        <v>687</v>
      </c>
      <c r="C53" s="19" t="s">
        <v>735</v>
      </c>
      <c r="D53" s="8" t="s">
        <v>417</v>
      </c>
      <c r="E53" s="8" t="s">
        <v>727</v>
      </c>
      <c r="F53" s="267">
        <v>607600</v>
      </c>
      <c r="G53" s="8"/>
      <c r="H53" s="8"/>
      <c r="I53" s="301" t="s">
        <v>734</v>
      </c>
      <c r="J53" s="74" t="s">
        <v>691</v>
      </c>
      <c r="K53" s="14" t="s">
        <v>77</v>
      </c>
    </row>
    <row r="54" spans="1:11" ht="56.25">
      <c r="A54" s="74">
        <v>49</v>
      </c>
      <c r="B54" s="8" t="s">
        <v>687</v>
      </c>
      <c r="C54" s="19" t="s">
        <v>736</v>
      </c>
      <c r="D54" s="8" t="s">
        <v>417</v>
      </c>
      <c r="E54" s="8" t="s">
        <v>727</v>
      </c>
      <c r="F54" s="311">
        <v>210800</v>
      </c>
      <c r="G54" s="8"/>
      <c r="H54" s="8"/>
      <c r="I54" s="301" t="s">
        <v>734</v>
      </c>
      <c r="J54" s="74" t="s">
        <v>691</v>
      </c>
      <c r="K54" s="14" t="s">
        <v>77</v>
      </c>
    </row>
    <row r="55" spans="1:11" ht="47.25">
      <c r="A55" s="74">
        <v>50</v>
      </c>
      <c r="B55" s="8" t="s">
        <v>687</v>
      </c>
      <c r="C55" s="19" t="s">
        <v>737</v>
      </c>
      <c r="D55" s="8" t="s">
        <v>417</v>
      </c>
      <c r="E55" s="8" t="s">
        <v>727</v>
      </c>
      <c r="F55" s="311">
        <v>30000</v>
      </c>
      <c r="G55" s="8"/>
      <c r="H55" s="8"/>
      <c r="I55" s="301" t="s">
        <v>734</v>
      </c>
      <c r="J55" s="74" t="s">
        <v>691</v>
      </c>
      <c r="K55" s="14" t="s">
        <v>77</v>
      </c>
    </row>
    <row r="56" spans="1:11" ht="47.25">
      <c r="A56" s="74">
        <v>51</v>
      </c>
      <c r="B56" s="8" t="s">
        <v>687</v>
      </c>
      <c r="C56" s="19" t="s">
        <v>738</v>
      </c>
      <c r="D56" s="8" t="s">
        <v>844</v>
      </c>
      <c r="E56" s="8" t="s">
        <v>727</v>
      </c>
      <c r="F56" s="267">
        <v>20000</v>
      </c>
      <c r="G56" s="8"/>
      <c r="H56" s="8"/>
      <c r="I56" s="301" t="s">
        <v>734</v>
      </c>
      <c r="J56" s="74" t="s">
        <v>691</v>
      </c>
      <c r="K56" s="14" t="s">
        <v>77</v>
      </c>
    </row>
    <row r="57" spans="1:11" ht="51" customHeight="1">
      <c r="A57" s="74">
        <v>52</v>
      </c>
      <c r="B57" s="8" t="s">
        <v>687</v>
      </c>
      <c r="C57" s="19" t="s">
        <v>739</v>
      </c>
      <c r="D57" s="8" t="s">
        <v>417</v>
      </c>
      <c r="E57" s="8" t="s">
        <v>727</v>
      </c>
      <c r="F57" s="267">
        <v>3300</v>
      </c>
      <c r="G57" s="8"/>
      <c r="H57" s="8"/>
      <c r="I57" s="301" t="s">
        <v>734</v>
      </c>
      <c r="J57" s="74" t="s">
        <v>691</v>
      </c>
      <c r="K57" s="14" t="s">
        <v>77</v>
      </c>
    </row>
    <row r="58" spans="1:11" ht="47.25">
      <c r="A58" s="74">
        <v>53</v>
      </c>
      <c r="B58" s="8" t="s">
        <v>687</v>
      </c>
      <c r="C58" s="19" t="s">
        <v>740</v>
      </c>
      <c r="D58" s="8" t="s">
        <v>844</v>
      </c>
      <c r="E58" s="8" t="s">
        <v>727</v>
      </c>
      <c r="F58" s="267">
        <v>161700</v>
      </c>
      <c r="G58" s="8"/>
      <c r="H58" s="8"/>
      <c r="I58" s="301" t="s">
        <v>734</v>
      </c>
      <c r="J58" s="74" t="s">
        <v>691</v>
      </c>
      <c r="K58" s="14" t="s">
        <v>77</v>
      </c>
    </row>
    <row r="59" spans="1:11" ht="47.25">
      <c r="A59" s="74">
        <v>54</v>
      </c>
      <c r="B59" s="8" t="s">
        <v>687</v>
      </c>
      <c r="C59" s="19" t="s">
        <v>741</v>
      </c>
      <c r="D59" s="8" t="s">
        <v>417</v>
      </c>
      <c r="E59" s="8" t="s">
        <v>727</v>
      </c>
      <c r="F59" s="267">
        <v>100000</v>
      </c>
      <c r="G59" s="8"/>
      <c r="H59" s="8"/>
      <c r="I59" s="301" t="s">
        <v>734</v>
      </c>
      <c r="J59" s="74" t="s">
        <v>691</v>
      </c>
      <c r="K59" s="14" t="s">
        <v>77</v>
      </c>
    </row>
    <row r="60" spans="1:11" ht="47.25">
      <c r="A60" s="74">
        <v>55</v>
      </c>
      <c r="B60" s="8" t="s">
        <v>687</v>
      </c>
      <c r="C60" s="19" t="s">
        <v>742</v>
      </c>
      <c r="D60" s="8" t="s">
        <v>417</v>
      </c>
      <c r="E60" s="8" t="s">
        <v>727</v>
      </c>
      <c r="F60" s="267">
        <v>20000</v>
      </c>
      <c r="G60" s="8"/>
      <c r="H60" s="8"/>
      <c r="I60" s="301" t="s">
        <v>734</v>
      </c>
      <c r="J60" s="74" t="s">
        <v>691</v>
      </c>
      <c r="K60" s="14" t="s">
        <v>77</v>
      </c>
    </row>
    <row r="61" spans="1:11" ht="47.25">
      <c r="A61" s="74">
        <v>56</v>
      </c>
      <c r="B61" s="8" t="s">
        <v>687</v>
      </c>
      <c r="C61" s="19" t="s">
        <v>743</v>
      </c>
      <c r="D61" s="8" t="s">
        <v>417</v>
      </c>
      <c r="E61" s="8" t="s">
        <v>727</v>
      </c>
      <c r="F61" s="267">
        <v>20000</v>
      </c>
      <c r="G61" s="8"/>
      <c r="H61" s="8"/>
      <c r="I61" s="301" t="s">
        <v>734</v>
      </c>
      <c r="J61" s="74" t="s">
        <v>691</v>
      </c>
      <c r="K61" s="14" t="s">
        <v>77</v>
      </c>
    </row>
    <row r="62" spans="1:11" ht="56.25">
      <c r="A62" s="74">
        <v>57</v>
      </c>
      <c r="B62" s="8" t="s">
        <v>687</v>
      </c>
      <c r="C62" s="19" t="s">
        <v>744</v>
      </c>
      <c r="D62" s="8" t="s">
        <v>417</v>
      </c>
      <c r="E62" s="8" t="s">
        <v>727</v>
      </c>
      <c r="F62" s="267">
        <v>20000</v>
      </c>
      <c r="G62" s="8"/>
      <c r="H62" s="8"/>
      <c r="I62" s="301" t="s">
        <v>734</v>
      </c>
      <c r="J62" s="74" t="s">
        <v>691</v>
      </c>
      <c r="K62" s="14" t="s">
        <v>77</v>
      </c>
    </row>
    <row r="63" spans="1:11" ht="47.25">
      <c r="A63" s="74">
        <v>58</v>
      </c>
      <c r="B63" s="8" t="s">
        <v>687</v>
      </c>
      <c r="C63" s="19" t="s">
        <v>745</v>
      </c>
      <c r="D63" s="8" t="s">
        <v>417</v>
      </c>
      <c r="E63" s="8" t="s">
        <v>727</v>
      </c>
      <c r="F63" s="267">
        <v>100000</v>
      </c>
      <c r="G63" s="8"/>
      <c r="H63" s="8"/>
      <c r="I63" s="301" t="s">
        <v>734</v>
      </c>
      <c r="J63" s="74" t="s">
        <v>691</v>
      </c>
      <c r="K63" s="14" t="s">
        <v>77</v>
      </c>
    </row>
    <row r="64" spans="1:11" ht="47.25">
      <c r="A64" s="74">
        <v>59</v>
      </c>
      <c r="B64" s="8" t="s">
        <v>687</v>
      </c>
      <c r="C64" s="19" t="s">
        <v>746</v>
      </c>
      <c r="D64" s="8" t="s">
        <v>417</v>
      </c>
      <c r="E64" s="8" t="s">
        <v>727</v>
      </c>
      <c r="F64" s="267">
        <v>1308320</v>
      </c>
      <c r="G64" s="19"/>
      <c r="H64" s="19"/>
      <c r="I64" s="301" t="s">
        <v>734</v>
      </c>
      <c r="J64" s="74" t="s">
        <v>691</v>
      </c>
      <c r="K64" s="14" t="s">
        <v>77</v>
      </c>
    </row>
    <row r="65" spans="1:11" ht="56.25">
      <c r="A65" s="74">
        <v>60</v>
      </c>
      <c r="B65" s="8" t="s">
        <v>687</v>
      </c>
      <c r="C65" s="19" t="s">
        <v>747</v>
      </c>
      <c r="D65" s="8" t="s">
        <v>417</v>
      </c>
      <c r="E65" s="8" t="s">
        <v>727</v>
      </c>
      <c r="F65" s="267">
        <v>257920</v>
      </c>
      <c r="G65" s="8"/>
      <c r="H65" s="8"/>
      <c r="I65" s="301" t="s">
        <v>734</v>
      </c>
      <c r="J65" s="74" t="s">
        <v>691</v>
      </c>
      <c r="K65" s="14" t="s">
        <v>77</v>
      </c>
    </row>
    <row r="66" spans="1:11" ht="47.25">
      <c r="A66" s="74">
        <v>61</v>
      </c>
      <c r="B66" s="8" t="s">
        <v>687</v>
      </c>
      <c r="C66" s="19" t="s">
        <v>748</v>
      </c>
      <c r="D66" s="8" t="s">
        <v>417</v>
      </c>
      <c r="E66" s="8" t="s">
        <v>727</v>
      </c>
      <c r="F66" s="267">
        <v>68640</v>
      </c>
      <c r="G66" s="8"/>
      <c r="H66" s="8"/>
      <c r="I66" s="301" t="s">
        <v>734</v>
      </c>
      <c r="J66" s="74" t="s">
        <v>691</v>
      </c>
      <c r="K66" s="14" t="s">
        <v>77</v>
      </c>
    </row>
    <row r="67" spans="1:11" ht="47.25">
      <c r="A67" s="74">
        <v>62</v>
      </c>
      <c r="B67" s="8" t="s">
        <v>687</v>
      </c>
      <c r="C67" s="19" t="s">
        <v>749</v>
      </c>
      <c r="D67" s="8" t="s">
        <v>417</v>
      </c>
      <c r="E67" s="8" t="s">
        <v>727</v>
      </c>
      <c r="F67" s="267">
        <v>210000</v>
      </c>
      <c r="G67" s="8"/>
      <c r="H67" s="8"/>
      <c r="I67" s="301" t="s">
        <v>734</v>
      </c>
      <c r="J67" s="74" t="s">
        <v>691</v>
      </c>
      <c r="K67" s="14" t="s">
        <v>77</v>
      </c>
    </row>
    <row r="68" spans="1:11" ht="47.25">
      <c r="A68" s="74">
        <v>63</v>
      </c>
      <c r="B68" s="8" t="s">
        <v>687</v>
      </c>
      <c r="C68" s="19" t="s">
        <v>750</v>
      </c>
      <c r="D68" s="8" t="s">
        <v>417</v>
      </c>
      <c r="E68" s="8" t="s">
        <v>727</v>
      </c>
      <c r="F68" s="267">
        <v>210000</v>
      </c>
      <c r="G68" s="8"/>
      <c r="H68" s="8"/>
      <c r="I68" s="301" t="s">
        <v>734</v>
      </c>
      <c r="J68" s="74" t="s">
        <v>691</v>
      </c>
      <c r="K68" s="14" t="s">
        <v>77</v>
      </c>
    </row>
    <row r="69" spans="1:11" s="303" customFormat="1" ht="47.25">
      <c r="A69" s="74">
        <v>64</v>
      </c>
      <c r="B69" s="8" t="s">
        <v>687</v>
      </c>
      <c r="C69" s="19" t="s">
        <v>752</v>
      </c>
      <c r="D69" s="8" t="s">
        <v>110</v>
      </c>
      <c r="E69" s="19" t="s">
        <v>751</v>
      </c>
      <c r="F69" s="267">
        <v>100000</v>
      </c>
      <c r="G69" s="8"/>
      <c r="H69" s="8"/>
      <c r="I69" s="302" t="s">
        <v>734</v>
      </c>
      <c r="J69" s="74" t="s">
        <v>691</v>
      </c>
      <c r="K69" s="14" t="s">
        <v>77</v>
      </c>
    </row>
    <row r="70" spans="1:11" ht="47.25">
      <c r="A70" s="74">
        <v>65</v>
      </c>
      <c r="B70" s="8" t="s">
        <v>687</v>
      </c>
      <c r="C70" s="19" t="s">
        <v>753</v>
      </c>
      <c r="D70" s="8" t="s">
        <v>754</v>
      </c>
      <c r="E70" s="19" t="s">
        <v>755</v>
      </c>
      <c r="F70" s="267">
        <v>84000</v>
      </c>
      <c r="G70" s="8"/>
      <c r="H70" s="8"/>
      <c r="I70" s="301" t="s">
        <v>734</v>
      </c>
      <c r="J70" s="74" t="s">
        <v>691</v>
      </c>
      <c r="K70" s="14" t="s">
        <v>77</v>
      </c>
    </row>
    <row r="71" spans="1:11" ht="47.25">
      <c r="A71" s="74">
        <v>66</v>
      </c>
      <c r="B71" s="8" t="s">
        <v>687</v>
      </c>
      <c r="C71" s="19" t="s">
        <v>756</v>
      </c>
      <c r="D71" s="8" t="s">
        <v>754</v>
      </c>
      <c r="E71" s="19" t="s">
        <v>755</v>
      </c>
      <c r="F71" s="267">
        <v>20000</v>
      </c>
      <c r="G71" s="19"/>
      <c r="H71" s="19"/>
      <c r="I71" s="301" t="s">
        <v>734</v>
      </c>
      <c r="J71" s="74" t="s">
        <v>691</v>
      </c>
      <c r="K71" s="14" t="s">
        <v>77</v>
      </c>
    </row>
    <row r="72" spans="1:11" ht="47.25">
      <c r="A72" s="74">
        <v>67</v>
      </c>
      <c r="B72" s="8" t="s">
        <v>687</v>
      </c>
      <c r="C72" s="19" t="s">
        <v>757</v>
      </c>
      <c r="D72" s="8" t="s">
        <v>754</v>
      </c>
      <c r="E72" s="19" t="s">
        <v>755</v>
      </c>
      <c r="F72" s="267">
        <v>100000</v>
      </c>
      <c r="G72" s="8"/>
      <c r="H72" s="8"/>
      <c r="I72" s="301" t="s">
        <v>734</v>
      </c>
      <c r="J72" s="74" t="s">
        <v>691</v>
      </c>
      <c r="K72" s="14" t="s">
        <v>77</v>
      </c>
    </row>
    <row r="73" spans="1:11" ht="47.25">
      <c r="A73" s="74">
        <v>68</v>
      </c>
      <c r="B73" s="8" t="s">
        <v>687</v>
      </c>
      <c r="C73" s="19" t="s">
        <v>758</v>
      </c>
      <c r="D73" s="8" t="s">
        <v>754</v>
      </c>
      <c r="E73" s="19" t="s">
        <v>755</v>
      </c>
      <c r="F73" s="267">
        <v>20000</v>
      </c>
      <c r="G73" s="8"/>
      <c r="H73" s="8"/>
      <c r="I73" s="301" t="s">
        <v>734</v>
      </c>
      <c r="J73" s="74" t="s">
        <v>691</v>
      </c>
      <c r="K73" s="14" t="s">
        <v>77</v>
      </c>
    </row>
    <row r="74" spans="1:11" ht="47.25">
      <c r="A74" s="74">
        <v>69</v>
      </c>
      <c r="B74" s="8" t="s">
        <v>687</v>
      </c>
      <c r="C74" s="19" t="s">
        <v>759</v>
      </c>
      <c r="D74" s="8" t="s">
        <v>754</v>
      </c>
      <c r="E74" s="19" t="s">
        <v>755</v>
      </c>
      <c r="F74" s="267">
        <v>30000</v>
      </c>
      <c r="G74" s="8"/>
      <c r="H74" s="8"/>
      <c r="I74" s="301" t="s">
        <v>734</v>
      </c>
      <c r="J74" s="74" t="s">
        <v>691</v>
      </c>
      <c r="K74" s="14" t="s">
        <v>77</v>
      </c>
    </row>
    <row r="75" spans="1:11" ht="47.25">
      <c r="A75" s="74">
        <v>70</v>
      </c>
      <c r="B75" s="8" t="s">
        <v>687</v>
      </c>
      <c r="C75" s="19" t="s">
        <v>760</v>
      </c>
      <c r="D75" s="8" t="s">
        <v>754</v>
      </c>
      <c r="E75" s="19" t="s">
        <v>755</v>
      </c>
      <c r="F75" s="267">
        <v>20000</v>
      </c>
      <c r="G75" s="8"/>
      <c r="H75" s="8"/>
      <c r="I75" s="302" t="s">
        <v>734</v>
      </c>
      <c r="J75" s="74" t="s">
        <v>691</v>
      </c>
      <c r="K75" s="14" t="s">
        <v>77</v>
      </c>
    </row>
    <row r="76" spans="1:11" ht="47.25">
      <c r="A76" s="74">
        <v>71</v>
      </c>
      <c r="B76" s="8" t="s">
        <v>687</v>
      </c>
      <c r="C76" s="19" t="s">
        <v>761</v>
      </c>
      <c r="D76" s="8" t="s">
        <v>754</v>
      </c>
      <c r="E76" s="19" t="s">
        <v>755</v>
      </c>
      <c r="F76" s="267">
        <v>20000</v>
      </c>
      <c r="G76" s="8"/>
      <c r="H76" s="8"/>
      <c r="I76" s="302" t="s">
        <v>734</v>
      </c>
      <c r="J76" s="74" t="s">
        <v>691</v>
      </c>
      <c r="K76" s="14" t="s">
        <v>77</v>
      </c>
    </row>
    <row r="77" spans="1:11" ht="37.5">
      <c r="A77" s="74">
        <v>72</v>
      </c>
      <c r="B77" s="8" t="s">
        <v>687</v>
      </c>
      <c r="C77" s="80" t="s">
        <v>730</v>
      </c>
      <c r="D77" s="8" t="s">
        <v>754</v>
      </c>
      <c r="E77" s="19" t="s">
        <v>755</v>
      </c>
      <c r="F77" s="267">
        <v>5000</v>
      </c>
      <c r="G77" s="8"/>
      <c r="H77" s="8"/>
      <c r="I77" s="301" t="s">
        <v>734</v>
      </c>
      <c r="J77" s="74" t="s">
        <v>691</v>
      </c>
      <c r="K77" s="14" t="s">
        <v>838</v>
      </c>
    </row>
    <row r="78" spans="1:11" ht="37.5">
      <c r="A78" s="74">
        <v>73</v>
      </c>
      <c r="B78" s="8" t="s">
        <v>687</v>
      </c>
      <c r="C78" s="80" t="s">
        <v>690</v>
      </c>
      <c r="D78" s="8" t="s">
        <v>754</v>
      </c>
      <c r="E78" s="19" t="s">
        <v>755</v>
      </c>
      <c r="F78" s="267">
        <v>5000</v>
      </c>
      <c r="G78" s="8"/>
      <c r="H78" s="8"/>
      <c r="I78" s="301" t="s">
        <v>734</v>
      </c>
      <c r="J78" s="74" t="s">
        <v>691</v>
      </c>
      <c r="K78" s="14" t="s">
        <v>838</v>
      </c>
    </row>
    <row r="79" spans="1:11" ht="37.5">
      <c r="A79" s="74">
        <v>74</v>
      </c>
      <c r="B79" s="8" t="s">
        <v>687</v>
      </c>
      <c r="C79" s="80" t="s">
        <v>708</v>
      </c>
      <c r="D79" s="8" t="s">
        <v>754</v>
      </c>
      <c r="E79" s="19" t="s">
        <v>755</v>
      </c>
      <c r="F79" s="267">
        <v>5000</v>
      </c>
      <c r="G79" s="8"/>
      <c r="H79" s="8"/>
      <c r="I79" s="301" t="s">
        <v>734</v>
      </c>
      <c r="J79" s="74" t="s">
        <v>691</v>
      </c>
      <c r="K79" s="14" t="s">
        <v>838</v>
      </c>
    </row>
    <row r="80" spans="1:11" ht="37.5">
      <c r="A80" s="74">
        <v>75</v>
      </c>
      <c r="B80" s="8" t="s">
        <v>687</v>
      </c>
      <c r="C80" s="80" t="s">
        <v>762</v>
      </c>
      <c r="D80" s="8" t="s">
        <v>754</v>
      </c>
      <c r="E80" s="19" t="s">
        <v>755</v>
      </c>
      <c r="F80" s="267">
        <v>20000</v>
      </c>
      <c r="G80" s="8"/>
      <c r="H80" s="8"/>
      <c r="I80" s="301" t="s">
        <v>734</v>
      </c>
      <c r="J80" s="74" t="s">
        <v>691</v>
      </c>
      <c r="K80" s="14" t="s">
        <v>838</v>
      </c>
    </row>
    <row r="81" spans="1:11" ht="37.5">
      <c r="A81" s="74">
        <v>76</v>
      </c>
      <c r="B81" s="8" t="s">
        <v>687</v>
      </c>
      <c r="C81" s="19" t="s">
        <v>763</v>
      </c>
      <c r="D81" s="8" t="s">
        <v>754</v>
      </c>
      <c r="E81" s="19" t="s">
        <v>755</v>
      </c>
      <c r="F81" s="267">
        <v>20000</v>
      </c>
      <c r="G81" s="8"/>
      <c r="H81" s="8"/>
      <c r="I81" s="301" t="s">
        <v>734</v>
      </c>
      <c r="J81" s="74" t="s">
        <v>691</v>
      </c>
      <c r="K81" s="14" t="s">
        <v>838</v>
      </c>
    </row>
    <row r="82" spans="1:11" ht="112.5">
      <c r="A82" s="74">
        <v>77</v>
      </c>
      <c r="B82" s="8" t="s">
        <v>687</v>
      </c>
      <c r="C82" s="19" t="s">
        <v>764</v>
      </c>
      <c r="D82" s="8" t="s">
        <v>754</v>
      </c>
      <c r="E82" s="19" t="s">
        <v>755</v>
      </c>
      <c r="F82" s="267">
        <v>20000</v>
      </c>
      <c r="G82" s="8"/>
      <c r="H82" s="8"/>
      <c r="I82" s="301" t="s">
        <v>734</v>
      </c>
      <c r="J82" s="74" t="s">
        <v>691</v>
      </c>
      <c r="K82" s="14" t="s">
        <v>839</v>
      </c>
    </row>
    <row r="83" spans="1:11" ht="37.5">
      <c r="A83" s="74">
        <v>78</v>
      </c>
      <c r="B83" s="8" t="s">
        <v>687</v>
      </c>
      <c r="C83" s="19" t="s">
        <v>766</v>
      </c>
      <c r="D83" s="8" t="s">
        <v>417</v>
      </c>
      <c r="E83" s="8" t="s">
        <v>765</v>
      </c>
      <c r="F83" s="267">
        <v>150000</v>
      </c>
      <c r="G83" s="8"/>
      <c r="H83" s="8"/>
      <c r="I83" s="301" t="s">
        <v>734</v>
      </c>
      <c r="J83" s="74" t="s">
        <v>691</v>
      </c>
      <c r="K83" s="14" t="s">
        <v>840</v>
      </c>
    </row>
    <row r="84" spans="1:11" ht="47.25">
      <c r="A84" s="74">
        <v>79</v>
      </c>
      <c r="B84" s="8" t="s">
        <v>687</v>
      </c>
      <c r="C84" s="19" t="s">
        <v>767</v>
      </c>
      <c r="D84" s="8" t="s">
        <v>417</v>
      </c>
      <c r="E84" s="8" t="s">
        <v>765</v>
      </c>
      <c r="F84" s="310">
        <v>30000</v>
      </c>
      <c r="G84" s="8"/>
      <c r="H84" s="8"/>
      <c r="I84" s="302" t="s">
        <v>734</v>
      </c>
      <c r="J84" s="74" t="s">
        <v>691</v>
      </c>
      <c r="K84" s="14" t="s">
        <v>77</v>
      </c>
    </row>
    <row r="85" spans="1:11" ht="37.5">
      <c r="A85" s="74">
        <v>80</v>
      </c>
      <c r="B85" s="8" t="s">
        <v>687</v>
      </c>
      <c r="C85" s="19" t="s">
        <v>768</v>
      </c>
      <c r="D85" s="8" t="s">
        <v>417</v>
      </c>
      <c r="E85" s="8" t="s">
        <v>765</v>
      </c>
      <c r="F85" s="310">
        <v>50000</v>
      </c>
      <c r="G85" s="8"/>
      <c r="H85" s="8"/>
      <c r="I85" s="302" t="s">
        <v>734</v>
      </c>
      <c r="J85" s="74" t="s">
        <v>691</v>
      </c>
      <c r="K85" s="14"/>
    </row>
    <row r="86" spans="1:11" s="303" customFormat="1" ht="47.25">
      <c r="A86" s="74">
        <v>81</v>
      </c>
      <c r="B86" s="8" t="s">
        <v>687</v>
      </c>
      <c r="C86" s="19" t="s">
        <v>769</v>
      </c>
      <c r="D86" s="8" t="s">
        <v>417</v>
      </c>
      <c r="E86" s="8" t="s">
        <v>765</v>
      </c>
      <c r="F86" s="310">
        <v>100000</v>
      </c>
      <c r="G86" s="8"/>
      <c r="H86" s="8"/>
      <c r="I86" s="302" t="s">
        <v>734</v>
      </c>
      <c r="J86" s="74" t="s">
        <v>691</v>
      </c>
      <c r="K86" s="14" t="s">
        <v>77</v>
      </c>
    </row>
    <row r="87" spans="1:11" s="303" customFormat="1" ht="47.25">
      <c r="A87" s="74">
        <v>82</v>
      </c>
      <c r="B87" s="8" t="s">
        <v>687</v>
      </c>
      <c r="C87" s="19" t="s">
        <v>770</v>
      </c>
      <c r="D87" s="8" t="s">
        <v>417</v>
      </c>
      <c r="E87" s="8" t="s">
        <v>765</v>
      </c>
      <c r="F87" s="310">
        <v>100000</v>
      </c>
      <c r="G87" s="8"/>
      <c r="H87" s="8"/>
      <c r="I87" s="302" t="s">
        <v>734</v>
      </c>
      <c r="J87" s="74" t="s">
        <v>691</v>
      </c>
      <c r="K87" s="14" t="s">
        <v>77</v>
      </c>
    </row>
    <row r="88" spans="1:11" s="303" customFormat="1" ht="37.5">
      <c r="A88" s="74">
        <v>83</v>
      </c>
      <c r="B88" s="8" t="s">
        <v>687</v>
      </c>
      <c r="C88" s="19" t="s">
        <v>771</v>
      </c>
      <c r="D88" s="8" t="s">
        <v>417</v>
      </c>
      <c r="E88" s="8" t="s">
        <v>765</v>
      </c>
      <c r="F88" s="310">
        <v>100000</v>
      </c>
      <c r="G88" s="8"/>
      <c r="H88" s="8"/>
      <c r="I88" s="302" t="s">
        <v>734</v>
      </c>
      <c r="J88" s="74" t="s">
        <v>691</v>
      </c>
      <c r="K88" s="14" t="s">
        <v>837</v>
      </c>
    </row>
    <row r="89" spans="1:11" s="303" customFormat="1" ht="47.25">
      <c r="A89" s="74">
        <v>84</v>
      </c>
      <c r="B89" s="8" t="s">
        <v>687</v>
      </c>
      <c r="C89" s="19" t="s">
        <v>772</v>
      </c>
      <c r="D89" s="8" t="s">
        <v>417</v>
      </c>
      <c r="E89" s="8" t="s">
        <v>765</v>
      </c>
      <c r="F89" s="310">
        <v>20000</v>
      </c>
      <c r="G89" s="8"/>
      <c r="H89" s="8"/>
      <c r="I89" s="302" t="s">
        <v>734</v>
      </c>
      <c r="J89" s="74" t="s">
        <v>691</v>
      </c>
      <c r="K89" s="14" t="s">
        <v>77</v>
      </c>
    </row>
    <row r="90" spans="1:11" s="303" customFormat="1" ht="56.25">
      <c r="A90" s="74">
        <v>85</v>
      </c>
      <c r="B90" s="8" t="s">
        <v>471</v>
      </c>
      <c r="C90" s="19" t="s">
        <v>773</v>
      </c>
      <c r="D90" s="8" t="s">
        <v>417</v>
      </c>
      <c r="E90" s="8" t="s">
        <v>765</v>
      </c>
      <c r="F90" s="310">
        <v>10000</v>
      </c>
      <c r="G90" s="8"/>
      <c r="H90" s="8"/>
      <c r="I90" s="302" t="s">
        <v>734</v>
      </c>
      <c r="J90" s="74" t="s">
        <v>691</v>
      </c>
      <c r="K90" s="14" t="s">
        <v>841</v>
      </c>
    </row>
    <row r="91" spans="1:11" s="303" customFormat="1" ht="37.5">
      <c r="A91" s="74">
        <v>86</v>
      </c>
      <c r="B91" s="8" t="s">
        <v>687</v>
      </c>
      <c r="C91" s="19" t="s">
        <v>774</v>
      </c>
      <c r="D91" s="8" t="s">
        <v>168</v>
      </c>
      <c r="E91" s="8" t="s">
        <v>378</v>
      </c>
      <c r="F91" s="267">
        <v>342000</v>
      </c>
      <c r="G91" s="8"/>
      <c r="H91" s="8"/>
      <c r="I91" s="302" t="s">
        <v>734</v>
      </c>
      <c r="J91" s="74" t="s">
        <v>691</v>
      </c>
      <c r="K91" s="309">
        <v>22282</v>
      </c>
    </row>
    <row r="92" spans="1:11" s="303" customFormat="1" ht="47.25">
      <c r="A92" s="74">
        <v>87</v>
      </c>
      <c r="B92" s="8" t="s">
        <v>687</v>
      </c>
      <c r="C92" s="19" t="s">
        <v>775</v>
      </c>
      <c r="D92" s="8" t="s">
        <v>168</v>
      </c>
      <c r="E92" s="8" t="s">
        <v>378</v>
      </c>
      <c r="F92" s="310">
        <v>30000</v>
      </c>
      <c r="G92" s="8"/>
      <c r="H92" s="8"/>
      <c r="I92" s="302" t="s">
        <v>734</v>
      </c>
      <c r="J92" s="74" t="s">
        <v>691</v>
      </c>
      <c r="K92" s="14" t="s">
        <v>77</v>
      </c>
    </row>
    <row r="93" spans="1:11" s="303" customFormat="1" ht="47.25">
      <c r="A93" s="74">
        <v>88</v>
      </c>
      <c r="B93" s="8" t="s">
        <v>687</v>
      </c>
      <c r="C93" s="19" t="s">
        <v>776</v>
      </c>
      <c r="D93" s="8" t="s">
        <v>168</v>
      </c>
      <c r="E93" s="8" t="s">
        <v>378</v>
      </c>
      <c r="F93" s="310">
        <v>200000</v>
      </c>
      <c r="G93" s="8"/>
      <c r="H93" s="8"/>
      <c r="I93" s="302" t="s">
        <v>734</v>
      </c>
      <c r="J93" s="74" t="s">
        <v>691</v>
      </c>
      <c r="K93" s="14" t="s">
        <v>77</v>
      </c>
    </row>
    <row r="94" spans="1:11" s="303" customFormat="1" ht="47.25">
      <c r="A94" s="74">
        <v>89</v>
      </c>
      <c r="B94" s="8" t="s">
        <v>687</v>
      </c>
      <c r="C94" s="19" t="s">
        <v>777</v>
      </c>
      <c r="D94" s="8" t="s">
        <v>168</v>
      </c>
      <c r="E94" s="8" t="s">
        <v>378</v>
      </c>
      <c r="F94" s="310">
        <v>5000</v>
      </c>
      <c r="G94" s="8"/>
      <c r="H94" s="8"/>
      <c r="I94" s="302" t="s">
        <v>734</v>
      </c>
      <c r="J94" s="74" t="s">
        <v>691</v>
      </c>
      <c r="K94" s="14" t="s">
        <v>77</v>
      </c>
    </row>
    <row r="95" spans="1:11" s="303" customFormat="1" ht="47.25">
      <c r="A95" s="74">
        <v>90</v>
      </c>
      <c r="B95" s="8" t="s">
        <v>687</v>
      </c>
      <c r="C95" s="19" t="s">
        <v>778</v>
      </c>
      <c r="D95" s="8" t="s">
        <v>168</v>
      </c>
      <c r="E95" s="8" t="s">
        <v>378</v>
      </c>
      <c r="F95" s="310">
        <v>5000</v>
      </c>
      <c r="G95" s="8"/>
      <c r="H95" s="8"/>
      <c r="I95" s="302" t="s">
        <v>734</v>
      </c>
      <c r="J95" s="74" t="s">
        <v>691</v>
      </c>
      <c r="K95" s="14" t="s">
        <v>77</v>
      </c>
    </row>
    <row r="96" spans="1:11" s="303" customFormat="1" ht="47.25">
      <c r="A96" s="74">
        <v>91</v>
      </c>
      <c r="B96" s="8" t="s">
        <v>687</v>
      </c>
      <c r="C96" s="19" t="s">
        <v>708</v>
      </c>
      <c r="D96" s="8" t="s">
        <v>168</v>
      </c>
      <c r="E96" s="8" t="s">
        <v>346</v>
      </c>
      <c r="F96" s="267">
        <v>5000</v>
      </c>
      <c r="G96" s="8"/>
      <c r="H96" s="8"/>
      <c r="I96" s="302" t="s">
        <v>734</v>
      </c>
      <c r="J96" s="74" t="s">
        <v>691</v>
      </c>
      <c r="K96" s="14" t="s">
        <v>77</v>
      </c>
    </row>
    <row r="97" spans="1:11" s="303" customFormat="1" ht="47.25">
      <c r="A97" s="74">
        <v>92</v>
      </c>
      <c r="B97" s="8" t="s">
        <v>687</v>
      </c>
      <c r="C97" s="19" t="s">
        <v>779</v>
      </c>
      <c r="D97" s="8" t="s">
        <v>168</v>
      </c>
      <c r="E97" s="8" t="s">
        <v>346</v>
      </c>
      <c r="F97" s="267">
        <v>150000</v>
      </c>
      <c r="G97" s="8"/>
      <c r="H97" s="8"/>
      <c r="I97" s="302" t="s">
        <v>734</v>
      </c>
      <c r="J97" s="74" t="s">
        <v>691</v>
      </c>
      <c r="K97" s="14" t="s">
        <v>77</v>
      </c>
    </row>
    <row r="98" spans="1:11" ht="47.25">
      <c r="A98" s="74">
        <v>93</v>
      </c>
      <c r="B98" s="8" t="s">
        <v>687</v>
      </c>
      <c r="C98" s="19" t="s">
        <v>780</v>
      </c>
      <c r="D98" s="8" t="s">
        <v>168</v>
      </c>
      <c r="E98" s="8" t="s">
        <v>346</v>
      </c>
      <c r="F98" s="267">
        <v>9000</v>
      </c>
      <c r="G98" s="8"/>
      <c r="H98" s="8"/>
      <c r="I98" s="302" t="s">
        <v>734</v>
      </c>
      <c r="J98" s="74" t="s">
        <v>691</v>
      </c>
      <c r="K98" s="14" t="s">
        <v>77</v>
      </c>
    </row>
    <row r="99" spans="1:11" ht="47.25">
      <c r="A99" s="74">
        <v>94</v>
      </c>
      <c r="B99" s="8" t="s">
        <v>687</v>
      </c>
      <c r="C99" s="19" t="s">
        <v>781</v>
      </c>
      <c r="D99" s="8" t="s">
        <v>168</v>
      </c>
      <c r="E99" s="8" t="s">
        <v>346</v>
      </c>
      <c r="F99" s="267">
        <v>10000</v>
      </c>
      <c r="G99" s="8"/>
      <c r="H99" s="8"/>
      <c r="I99" s="302" t="s">
        <v>734</v>
      </c>
      <c r="J99" s="74" t="s">
        <v>691</v>
      </c>
      <c r="K99" s="14" t="s">
        <v>77</v>
      </c>
    </row>
    <row r="100" spans="1:11" ht="47.25">
      <c r="A100" s="74">
        <v>95</v>
      </c>
      <c r="B100" s="8" t="s">
        <v>687</v>
      </c>
      <c r="C100" s="19" t="s">
        <v>782</v>
      </c>
      <c r="D100" s="8" t="s">
        <v>168</v>
      </c>
      <c r="E100" s="8" t="s">
        <v>346</v>
      </c>
      <c r="F100" s="267">
        <v>5000</v>
      </c>
      <c r="G100" s="8"/>
      <c r="H100" s="8"/>
      <c r="I100" s="302" t="s">
        <v>734</v>
      </c>
      <c r="J100" s="74" t="s">
        <v>691</v>
      </c>
      <c r="K100" s="14" t="s">
        <v>77</v>
      </c>
    </row>
    <row r="101" spans="1:11" ht="75" customHeight="1">
      <c r="A101" s="74">
        <v>96</v>
      </c>
      <c r="B101" s="8" t="s">
        <v>687</v>
      </c>
      <c r="C101" s="19" t="s">
        <v>783</v>
      </c>
      <c r="D101" s="8" t="s">
        <v>168</v>
      </c>
      <c r="E101" s="8" t="s">
        <v>346</v>
      </c>
      <c r="F101" s="267">
        <v>100000</v>
      </c>
      <c r="G101" s="8"/>
      <c r="H101" s="8"/>
      <c r="I101" s="302" t="s">
        <v>734</v>
      </c>
      <c r="J101" s="74" t="s">
        <v>691</v>
      </c>
      <c r="K101" s="14" t="s">
        <v>77</v>
      </c>
    </row>
    <row r="102" spans="1:11" ht="58.5" customHeight="1">
      <c r="A102" s="74">
        <v>97</v>
      </c>
      <c r="B102" s="8" t="s">
        <v>687</v>
      </c>
      <c r="C102" s="19" t="s">
        <v>784</v>
      </c>
      <c r="D102" s="8" t="s">
        <v>168</v>
      </c>
      <c r="E102" s="8" t="s">
        <v>346</v>
      </c>
      <c r="F102" s="267">
        <v>10000</v>
      </c>
      <c r="G102" s="8"/>
      <c r="H102" s="8"/>
      <c r="I102" s="302" t="s">
        <v>734</v>
      </c>
      <c r="J102" s="74" t="s">
        <v>691</v>
      </c>
      <c r="K102" s="14" t="s">
        <v>77</v>
      </c>
    </row>
    <row r="103" spans="1:11" ht="47.25">
      <c r="A103" s="74">
        <v>98</v>
      </c>
      <c r="B103" s="8" t="s">
        <v>687</v>
      </c>
      <c r="C103" s="19" t="s">
        <v>785</v>
      </c>
      <c r="D103" s="8" t="s">
        <v>168</v>
      </c>
      <c r="E103" s="8" t="s">
        <v>346</v>
      </c>
      <c r="F103" s="267">
        <v>15000</v>
      </c>
      <c r="G103" s="8"/>
      <c r="H103" s="8"/>
      <c r="I103" s="302" t="s">
        <v>734</v>
      </c>
      <c r="J103" s="74" t="s">
        <v>691</v>
      </c>
      <c r="K103" s="14" t="s">
        <v>77</v>
      </c>
    </row>
    <row r="104" spans="1:11" ht="47.25">
      <c r="A104" s="74">
        <v>99</v>
      </c>
      <c r="B104" s="8" t="s">
        <v>687</v>
      </c>
      <c r="C104" s="19" t="s">
        <v>786</v>
      </c>
      <c r="D104" s="8" t="s">
        <v>168</v>
      </c>
      <c r="E104" s="8" t="s">
        <v>346</v>
      </c>
      <c r="F104" s="267">
        <v>300000</v>
      </c>
      <c r="G104" s="8"/>
      <c r="H104" s="8"/>
      <c r="I104" s="302" t="s">
        <v>734</v>
      </c>
      <c r="J104" s="74" t="s">
        <v>691</v>
      </c>
      <c r="K104" s="14" t="s">
        <v>77</v>
      </c>
    </row>
    <row r="105" spans="1:11" ht="56.25">
      <c r="A105" s="74">
        <v>100</v>
      </c>
      <c r="B105" s="8" t="s">
        <v>687</v>
      </c>
      <c r="C105" s="19" t="s">
        <v>787</v>
      </c>
      <c r="D105" s="8" t="s">
        <v>168</v>
      </c>
      <c r="E105" s="8" t="s">
        <v>346</v>
      </c>
      <c r="F105" s="267">
        <v>290000</v>
      </c>
      <c r="G105" s="8"/>
      <c r="H105" s="8"/>
      <c r="I105" s="302" t="s">
        <v>734</v>
      </c>
      <c r="J105" s="74" t="s">
        <v>691</v>
      </c>
      <c r="K105" s="14" t="s">
        <v>77</v>
      </c>
    </row>
    <row r="106" spans="1:11" ht="56.25">
      <c r="A106" s="74">
        <v>101</v>
      </c>
      <c r="B106" s="8" t="s">
        <v>687</v>
      </c>
      <c r="C106" s="19" t="s">
        <v>797</v>
      </c>
      <c r="D106" s="8" t="s">
        <v>168</v>
      </c>
      <c r="E106" s="8" t="s">
        <v>346</v>
      </c>
      <c r="F106" s="267">
        <v>290000</v>
      </c>
      <c r="G106" s="8"/>
      <c r="H106" s="8"/>
      <c r="I106" s="302" t="s">
        <v>734</v>
      </c>
      <c r="J106" s="74" t="s">
        <v>691</v>
      </c>
      <c r="K106" s="14" t="s">
        <v>77</v>
      </c>
    </row>
    <row r="107" spans="1:11" ht="56.25">
      <c r="A107" s="74">
        <v>102</v>
      </c>
      <c r="B107" s="8" t="s">
        <v>687</v>
      </c>
      <c r="C107" s="19" t="s">
        <v>788</v>
      </c>
      <c r="D107" s="8" t="s">
        <v>168</v>
      </c>
      <c r="E107" s="8" t="s">
        <v>346</v>
      </c>
      <c r="F107" s="267">
        <v>290000</v>
      </c>
      <c r="G107" s="8"/>
      <c r="H107" s="8"/>
      <c r="I107" s="302" t="s">
        <v>734</v>
      </c>
      <c r="J107" s="74" t="s">
        <v>691</v>
      </c>
      <c r="K107" s="14" t="s">
        <v>77</v>
      </c>
    </row>
    <row r="108" spans="1:11" ht="56.25">
      <c r="A108" s="74">
        <v>103</v>
      </c>
      <c r="B108" s="8" t="s">
        <v>687</v>
      </c>
      <c r="C108" s="19" t="s">
        <v>789</v>
      </c>
      <c r="D108" s="8" t="s">
        <v>168</v>
      </c>
      <c r="E108" s="8" t="s">
        <v>346</v>
      </c>
      <c r="F108" s="267">
        <v>290000</v>
      </c>
      <c r="G108" s="8"/>
      <c r="H108" s="8"/>
      <c r="I108" s="302" t="s">
        <v>734</v>
      </c>
      <c r="J108" s="74" t="s">
        <v>691</v>
      </c>
      <c r="K108" s="14" t="s">
        <v>77</v>
      </c>
    </row>
    <row r="109" spans="1:11" ht="56.25">
      <c r="A109" s="74">
        <v>104</v>
      </c>
      <c r="B109" s="8" t="s">
        <v>687</v>
      </c>
      <c r="C109" s="19" t="s">
        <v>790</v>
      </c>
      <c r="D109" s="8" t="s">
        <v>168</v>
      </c>
      <c r="E109" s="8" t="s">
        <v>346</v>
      </c>
      <c r="F109" s="267">
        <v>290000</v>
      </c>
      <c r="G109" s="8"/>
      <c r="H109" s="8"/>
      <c r="I109" s="302" t="s">
        <v>734</v>
      </c>
      <c r="J109" s="74" t="s">
        <v>691</v>
      </c>
      <c r="K109" s="14" t="s">
        <v>77</v>
      </c>
    </row>
    <row r="110" spans="1:11" ht="56.25">
      <c r="A110" s="74">
        <v>105</v>
      </c>
      <c r="B110" s="8" t="s">
        <v>687</v>
      </c>
      <c r="C110" s="19" t="s">
        <v>791</v>
      </c>
      <c r="D110" s="8" t="s">
        <v>168</v>
      </c>
      <c r="E110" s="8" t="s">
        <v>346</v>
      </c>
      <c r="F110" s="267">
        <v>290000</v>
      </c>
      <c r="G110" s="8"/>
      <c r="H110" s="8"/>
      <c r="I110" s="302" t="s">
        <v>734</v>
      </c>
      <c r="J110" s="74" t="s">
        <v>691</v>
      </c>
      <c r="K110" s="14" t="s">
        <v>77</v>
      </c>
    </row>
    <row r="111" spans="1:11" ht="56.25">
      <c r="A111" s="74">
        <v>106</v>
      </c>
      <c r="B111" s="8" t="s">
        <v>687</v>
      </c>
      <c r="C111" s="19" t="s">
        <v>792</v>
      </c>
      <c r="D111" s="8" t="s">
        <v>168</v>
      </c>
      <c r="E111" s="8" t="s">
        <v>346</v>
      </c>
      <c r="F111" s="267">
        <v>290000</v>
      </c>
      <c r="G111" s="8"/>
      <c r="H111" s="8"/>
      <c r="I111" s="302" t="s">
        <v>734</v>
      </c>
      <c r="J111" s="74" t="s">
        <v>691</v>
      </c>
      <c r="K111" s="14" t="s">
        <v>77</v>
      </c>
    </row>
    <row r="112" spans="1:11" ht="56.25">
      <c r="A112" s="74">
        <v>107</v>
      </c>
      <c r="B112" s="8" t="s">
        <v>687</v>
      </c>
      <c r="C112" s="19" t="s">
        <v>793</v>
      </c>
      <c r="D112" s="8" t="s">
        <v>168</v>
      </c>
      <c r="E112" s="8" t="s">
        <v>346</v>
      </c>
      <c r="F112" s="267">
        <v>290000</v>
      </c>
      <c r="G112" s="8"/>
      <c r="H112" s="8"/>
      <c r="I112" s="302" t="s">
        <v>734</v>
      </c>
      <c r="J112" s="74" t="s">
        <v>691</v>
      </c>
      <c r="K112" s="14" t="s">
        <v>688</v>
      </c>
    </row>
    <row r="113" spans="1:11" ht="56.25">
      <c r="A113" s="74">
        <v>108</v>
      </c>
      <c r="B113" s="8" t="s">
        <v>687</v>
      </c>
      <c r="C113" s="19" t="s">
        <v>794</v>
      </c>
      <c r="D113" s="8" t="s">
        <v>168</v>
      </c>
      <c r="E113" s="8" t="s">
        <v>346</v>
      </c>
      <c r="F113" s="267">
        <v>290000</v>
      </c>
      <c r="G113" s="8"/>
      <c r="H113" s="8"/>
      <c r="I113" s="302" t="s">
        <v>734</v>
      </c>
      <c r="J113" s="74" t="s">
        <v>691</v>
      </c>
      <c r="K113" s="14" t="s">
        <v>688</v>
      </c>
    </row>
    <row r="114" spans="1:11" ht="56.25">
      <c r="A114" s="74">
        <v>109</v>
      </c>
      <c r="B114" s="8" t="s">
        <v>687</v>
      </c>
      <c r="C114" s="19" t="s">
        <v>795</v>
      </c>
      <c r="D114" s="8" t="s">
        <v>168</v>
      </c>
      <c r="E114" s="8" t="s">
        <v>346</v>
      </c>
      <c r="F114" s="267">
        <v>290000</v>
      </c>
      <c r="G114" s="8"/>
      <c r="H114" s="8"/>
      <c r="I114" s="302" t="s">
        <v>734</v>
      </c>
      <c r="J114" s="74" t="s">
        <v>691</v>
      </c>
      <c r="K114" s="14" t="s">
        <v>688</v>
      </c>
    </row>
    <row r="115" spans="1:11" ht="56.25">
      <c r="A115" s="74">
        <v>110</v>
      </c>
      <c r="B115" s="8" t="s">
        <v>687</v>
      </c>
      <c r="C115" s="19" t="s">
        <v>796</v>
      </c>
      <c r="D115" s="8" t="s">
        <v>168</v>
      </c>
      <c r="E115" s="8" t="s">
        <v>346</v>
      </c>
      <c r="F115" s="267">
        <v>290000</v>
      </c>
      <c r="G115" s="8"/>
      <c r="H115" s="8"/>
      <c r="I115" s="302" t="s">
        <v>734</v>
      </c>
      <c r="J115" s="74" t="s">
        <v>691</v>
      </c>
      <c r="K115" s="14" t="s">
        <v>688</v>
      </c>
    </row>
    <row r="116" spans="1:11" ht="75">
      <c r="A116" s="74">
        <v>111</v>
      </c>
      <c r="B116" s="8" t="s">
        <v>687</v>
      </c>
      <c r="C116" s="19" t="s">
        <v>798</v>
      </c>
      <c r="D116" s="8" t="s">
        <v>168</v>
      </c>
      <c r="E116" s="8" t="s">
        <v>346</v>
      </c>
      <c r="F116" s="312">
        <v>40400</v>
      </c>
      <c r="G116" s="8"/>
      <c r="H116" s="8"/>
      <c r="I116" s="302" t="s">
        <v>734</v>
      </c>
      <c r="J116" s="74" t="s">
        <v>691</v>
      </c>
      <c r="K116" s="14" t="s">
        <v>688</v>
      </c>
    </row>
    <row r="117" spans="1:11" ht="56.25">
      <c r="A117" s="74">
        <v>112</v>
      </c>
      <c r="B117" s="8" t="s">
        <v>687</v>
      </c>
      <c r="C117" s="19" t="s">
        <v>799</v>
      </c>
      <c r="D117" s="8" t="s">
        <v>168</v>
      </c>
      <c r="E117" s="8" t="s">
        <v>346</v>
      </c>
      <c r="F117" s="312">
        <v>16300</v>
      </c>
      <c r="G117" s="8"/>
      <c r="H117" s="8"/>
      <c r="I117" s="8" t="s">
        <v>734</v>
      </c>
      <c r="J117" s="74" t="s">
        <v>691</v>
      </c>
      <c r="K117" s="14" t="s">
        <v>688</v>
      </c>
    </row>
    <row r="118" spans="1:11" ht="56.25">
      <c r="A118" s="74">
        <v>113</v>
      </c>
      <c r="B118" s="8" t="s">
        <v>687</v>
      </c>
      <c r="C118" s="19" t="s">
        <v>800</v>
      </c>
      <c r="D118" s="8" t="s">
        <v>168</v>
      </c>
      <c r="E118" s="8" t="s">
        <v>346</v>
      </c>
      <c r="F118" s="312">
        <v>16100</v>
      </c>
      <c r="G118" s="8"/>
      <c r="H118" s="8"/>
      <c r="I118" s="8" t="s">
        <v>734</v>
      </c>
      <c r="J118" s="74" t="s">
        <v>691</v>
      </c>
      <c r="K118" s="14" t="s">
        <v>688</v>
      </c>
    </row>
    <row r="119" spans="1:11" ht="56.25">
      <c r="A119" s="74">
        <v>114</v>
      </c>
      <c r="B119" s="8" t="s">
        <v>687</v>
      </c>
      <c r="C119" s="19" t="s">
        <v>801</v>
      </c>
      <c r="D119" s="8" t="s">
        <v>168</v>
      </c>
      <c r="E119" s="8" t="s">
        <v>346</v>
      </c>
      <c r="F119" s="312">
        <v>26400</v>
      </c>
      <c r="G119" s="8"/>
      <c r="H119" s="8"/>
      <c r="I119" s="8" t="s">
        <v>734</v>
      </c>
      <c r="J119" s="8" t="s">
        <v>687</v>
      </c>
      <c r="K119" s="14" t="s">
        <v>688</v>
      </c>
    </row>
    <row r="120" spans="1:11" ht="56.25">
      <c r="A120" s="74">
        <v>115</v>
      </c>
      <c r="B120" s="8" t="s">
        <v>687</v>
      </c>
      <c r="C120" s="19" t="s">
        <v>802</v>
      </c>
      <c r="D120" s="8" t="s">
        <v>168</v>
      </c>
      <c r="E120" s="8" t="s">
        <v>346</v>
      </c>
      <c r="F120" s="312">
        <v>23200</v>
      </c>
      <c r="G120" s="8"/>
      <c r="H120" s="8"/>
      <c r="I120" s="8" t="s">
        <v>734</v>
      </c>
      <c r="J120" s="8" t="s">
        <v>687</v>
      </c>
      <c r="K120" s="14" t="s">
        <v>688</v>
      </c>
    </row>
    <row r="121" spans="1:11" ht="56.25">
      <c r="A121" s="74">
        <v>116</v>
      </c>
      <c r="B121" s="8" t="s">
        <v>687</v>
      </c>
      <c r="C121" s="19" t="s">
        <v>803</v>
      </c>
      <c r="D121" s="8" t="s">
        <v>168</v>
      </c>
      <c r="E121" s="8" t="s">
        <v>346</v>
      </c>
      <c r="F121" s="312">
        <v>17100</v>
      </c>
      <c r="G121" s="8"/>
      <c r="H121" s="8"/>
      <c r="I121" s="8" t="s">
        <v>734</v>
      </c>
      <c r="J121" s="8" t="s">
        <v>687</v>
      </c>
      <c r="K121" s="14" t="s">
        <v>688</v>
      </c>
    </row>
    <row r="122" spans="1:11" ht="56.25">
      <c r="A122" s="74">
        <v>117</v>
      </c>
      <c r="B122" s="8" t="s">
        <v>687</v>
      </c>
      <c r="C122" s="19" t="s">
        <v>804</v>
      </c>
      <c r="D122" s="8" t="s">
        <v>168</v>
      </c>
      <c r="E122" s="8" t="s">
        <v>346</v>
      </c>
      <c r="F122" s="312">
        <v>74700</v>
      </c>
      <c r="G122" s="8"/>
      <c r="H122" s="8"/>
      <c r="I122" s="8" t="s">
        <v>734</v>
      </c>
      <c r="J122" s="8" t="s">
        <v>687</v>
      </c>
      <c r="K122" s="8" t="s">
        <v>839</v>
      </c>
    </row>
    <row r="123" spans="1:11" ht="56.25">
      <c r="A123" s="74">
        <v>118</v>
      </c>
      <c r="B123" s="8" t="s">
        <v>687</v>
      </c>
      <c r="C123" s="19" t="s">
        <v>805</v>
      </c>
      <c r="D123" s="8" t="s">
        <v>168</v>
      </c>
      <c r="E123" s="8" t="s">
        <v>346</v>
      </c>
      <c r="F123" s="312">
        <v>13800</v>
      </c>
      <c r="G123" s="8"/>
      <c r="H123" s="8"/>
      <c r="I123" s="8" t="s">
        <v>734</v>
      </c>
      <c r="J123" s="8" t="s">
        <v>687</v>
      </c>
      <c r="K123" s="8" t="s">
        <v>687</v>
      </c>
    </row>
    <row r="124" spans="1:11" ht="56.25">
      <c r="A124" s="74">
        <v>119</v>
      </c>
      <c r="B124" s="8" t="s">
        <v>687</v>
      </c>
      <c r="C124" s="19" t="s">
        <v>806</v>
      </c>
      <c r="D124" s="8" t="s">
        <v>168</v>
      </c>
      <c r="E124" s="8" t="s">
        <v>346</v>
      </c>
      <c r="F124" s="312">
        <v>13900</v>
      </c>
      <c r="G124" s="8"/>
      <c r="H124" s="8"/>
      <c r="I124" s="8" t="s">
        <v>734</v>
      </c>
      <c r="J124" s="8" t="s">
        <v>687</v>
      </c>
      <c r="K124" s="8" t="s">
        <v>687</v>
      </c>
    </row>
    <row r="125" spans="1:11" ht="56.25">
      <c r="A125" s="74">
        <v>120</v>
      </c>
      <c r="B125" s="8" t="s">
        <v>687</v>
      </c>
      <c r="C125" s="19" t="s">
        <v>807</v>
      </c>
      <c r="D125" s="8" t="s">
        <v>168</v>
      </c>
      <c r="E125" s="8" t="s">
        <v>346</v>
      </c>
      <c r="F125" s="312">
        <v>11500</v>
      </c>
      <c r="G125" s="8"/>
      <c r="H125" s="8"/>
      <c r="I125" s="8" t="s">
        <v>734</v>
      </c>
      <c r="J125" s="8" t="s">
        <v>687</v>
      </c>
      <c r="K125" s="8" t="s">
        <v>687</v>
      </c>
    </row>
    <row r="126" spans="1:11" ht="56.25">
      <c r="A126" s="74">
        <v>121</v>
      </c>
      <c r="B126" s="8" t="s">
        <v>687</v>
      </c>
      <c r="C126" s="19" t="s">
        <v>808</v>
      </c>
      <c r="D126" s="8" t="s">
        <v>168</v>
      </c>
      <c r="E126" s="8" t="s">
        <v>346</v>
      </c>
      <c r="F126" s="312">
        <v>18000</v>
      </c>
      <c r="G126" s="8"/>
      <c r="H126" s="8"/>
      <c r="I126" s="8" t="s">
        <v>734</v>
      </c>
      <c r="J126" s="8" t="s">
        <v>687</v>
      </c>
      <c r="K126" s="8" t="s">
        <v>687</v>
      </c>
    </row>
    <row r="127" spans="1:11" ht="56.25">
      <c r="A127" s="74">
        <v>122</v>
      </c>
      <c r="B127" s="8" t="s">
        <v>687</v>
      </c>
      <c r="C127" s="19" t="s">
        <v>809</v>
      </c>
      <c r="D127" s="8" t="s">
        <v>168</v>
      </c>
      <c r="E127" s="8" t="s">
        <v>346</v>
      </c>
      <c r="F127" s="312">
        <v>29500</v>
      </c>
      <c r="G127" s="8"/>
      <c r="H127" s="8"/>
      <c r="I127" s="8" t="s">
        <v>734</v>
      </c>
      <c r="J127" s="8" t="s">
        <v>687</v>
      </c>
      <c r="K127" s="8" t="s">
        <v>687</v>
      </c>
    </row>
    <row r="128" spans="1:11" ht="56.25">
      <c r="A128" s="74">
        <v>123</v>
      </c>
      <c r="B128" s="8" t="s">
        <v>687</v>
      </c>
      <c r="C128" s="19" t="s">
        <v>810</v>
      </c>
      <c r="D128" s="8" t="s">
        <v>168</v>
      </c>
      <c r="E128" s="8" t="s">
        <v>346</v>
      </c>
      <c r="F128" s="312">
        <v>20900</v>
      </c>
      <c r="G128" s="8"/>
      <c r="H128" s="8"/>
      <c r="I128" s="8" t="s">
        <v>734</v>
      </c>
      <c r="J128" s="8" t="s">
        <v>687</v>
      </c>
      <c r="K128" s="8" t="s">
        <v>687</v>
      </c>
    </row>
    <row r="129" spans="1:11" ht="56.25">
      <c r="A129" s="74">
        <v>124</v>
      </c>
      <c r="B129" s="8" t="s">
        <v>687</v>
      </c>
      <c r="C129" s="19" t="s">
        <v>811</v>
      </c>
      <c r="D129" s="8" t="s">
        <v>168</v>
      </c>
      <c r="E129" s="8" t="s">
        <v>346</v>
      </c>
      <c r="F129" s="312">
        <v>24400</v>
      </c>
      <c r="G129" s="8"/>
      <c r="H129" s="8"/>
      <c r="I129" s="8" t="s">
        <v>734</v>
      </c>
      <c r="J129" s="8" t="s">
        <v>687</v>
      </c>
      <c r="K129" s="8" t="s">
        <v>687</v>
      </c>
    </row>
    <row r="130" spans="1:11" ht="56.25">
      <c r="A130" s="74">
        <v>125</v>
      </c>
      <c r="B130" s="8" t="s">
        <v>687</v>
      </c>
      <c r="C130" s="19" t="s">
        <v>812</v>
      </c>
      <c r="D130" s="8" t="s">
        <v>168</v>
      </c>
      <c r="E130" s="8" t="s">
        <v>346</v>
      </c>
      <c r="F130" s="312">
        <v>16300</v>
      </c>
      <c r="G130" s="8"/>
      <c r="H130" s="8"/>
      <c r="I130" s="8" t="s">
        <v>734</v>
      </c>
      <c r="J130" s="8" t="s">
        <v>687</v>
      </c>
      <c r="K130" s="8" t="s">
        <v>687</v>
      </c>
    </row>
    <row r="131" spans="1:11" ht="37.5">
      <c r="A131" s="74">
        <v>126</v>
      </c>
      <c r="B131" s="8" t="s">
        <v>687</v>
      </c>
      <c r="C131" s="19" t="s">
        <v>813</v>
      </c>
      <c r="D131" s="8" t="s">
        <v>168</v>
      </c>
      <c r="E131" s="8" t="s">
        <v>346</v>
      </c>
      <c r="F131" s="312">
        <v>13800</v>
      </c>
      <c r="G131" s="8"/>
      <c r="H131" s="8"/>
      <c r="I131" s="8" t="s">
        <v>734</v>
      </c>
      <c r="J131" s="8" t="s">
        <v>687</v>
      </c>
      <c r="K131" s="8" t="s">
        <v>687</v>
      </c>
    </row>
    <row r="132" spans="1:11" s="303" customFormat="1" ht="75">
      <c r="A132" s="74">
        <v>127</v>
      </c>
      <c r="B132" s="8" t="s">
        <v>687</v>
      </c>
      <c r="C132" s="19" t="s">
        <v>814</v>
      </c>
      <c r="D132" s="8" t="s">
        <v>168</v>
      </c>
      <c r="E132" s="8" t="s">
        <v>346</v>
      </c>
      <c r="F132" s="312">
        <v>17800</v>
      </c>
      <c r="G132" s="8"/>
      <c r="H132" s="8"/>
      <c r="I132" s="8" t="s">
        <v>734</v>
      </c>
      <c r="J132" s="8" t="s">
        <v>687</v>
      </c>
      <c r="K132" s="8" t="s">
        <v>839</v>
      </c>
    </row>
    <row r="133" spans="1:11" s="303" customFormat="1" ht="75">
      <c r="A133" s="74">
        <v>128</v>
      </c>
      <c r="B133" s="8" t="s">
        <v>687</v>
      </c>
      <c r="C133" s="19" t="s">
        <v>815</v>
      </c>
      <c r="D133" s="8" t="s">
        <v>168</v>
      </c>
      <c r="E133" s="8" t="s">
        <v>346</v>
      </c>
      <c r="F133" s="312">
        <v>66000</v>
      </c>
      <c r="G133" s="8"/>
      <c r="H133" s="8"/>
      <c r="I133" s="8" t="s">
        <v>734</v>
      </c>
      <c r="J133" s="8" t="s">
        <v>687</v>
      </c>
      <c r="K133" s="8" t="s">
        <v>839</v>
      </c>
    </row>
    <row r="134" spans="1:11" s="303" customFormat="1" ht="75">
      <c r="A134" s="74">
        <v>129</v>
      </c>
      <c r="B134" s="8" t="s">
        <v>687</v>
      </c>
      <c r="C134" s="19" t="s">
        <v>816</v>
      </c>
      <c r="D134" s="8" t="s">
        <v>168</v>
      </c>
      <c r="E134" s="8" t="s">
        <v>346</v>
      </c>
      <c r="F134" s="312">
        <v>20900</v>
      </c>
      <c r="G134" s="8"/>
      <c r="H134" s="8"/>
      <c r="I134" s="8" t="s">
        <v>734</v>
      </c>
      <c r="J134" s="8" t="s">
        <v>687</v>
      </c>
      <c r="K134" s="8" t="s">
        <v>842</v>
      </c>
    </row>
    <row r="135" spans="1:11" s="303" customFormat="1" ht="56.25">
      <c r="A135" s="74">
        <v>130</v>
      </c>
      <c r="B135" s="8" t="s">
        <v>687</v>
      </c>
      <c r="C135" s="19" t="s">
        <v>817</v>
      </c>
      <c r="D135" s="8" t="s">
        <v>168</v>
      </c>
      <c r="E135" s="8" t="s">
        <v>346</v>
      </c>
      <c r="F135" s="312">
        <v>13000</v>
      </c>
      <c r="G135" s="8"/>
      <c r="H135" s="8"/>
      <c r="I135" s="8" t="s">
        <v>734</v>
      </c>
      <c r="J135" s="8" t="s">
        <v>687</v>
      </c>
      <c r="K135" s="8" t="s">
        <v>843</v>
      </c>
    </row>
    <row r="136" spans="1:11" s="303" customFormat="1" ht="56.25">
      <c r="A136" s="74">
        <v>131</v>
      </c>
      <c r="B136" s="8" t="s">
        <v>687</v>
      </c>
      <c r="C136" s="19" t="s">
        <v>818</v>
      </c>
      <c r="D136" s="8" t="s">
        <v>168</v>
      </c>
      <c r="E136" s="8" t="s">
        <v>346</v>
      </c>
      <c r="F136" s="312">
        <v>49700</v>
      </c>
      <c r="G136" s="8"/>
      <c r="H136" s="8"/>
      <c r="I136" s="8" t="s">
        <v>734</v>
      </c>
      <c r="J136" s="8" t="s">
        <v>687</v>
      </c>
      <c r="K136" s="8" t="s">
        <v>843</v>
      </c>
    </row>
    <row r="137" spans="1:11" s="303" customFormat="1" ht="56.25">
      <c r="A137" s="74">
        <v>132</v>
      </c>
      <c r="B137" s="8" t="s">
        <v>687</v>
      </c>
      <c r="C137" s="19" t="s">
        <v>819</v>
      </c>
      <c r="D137" s="8" t="s">
        <v>168</v>
      </c>
      <c r="E137" s="8" t="s">
        <v>346</v>
      </c>
      <c r="F137" s="312">
        <v>20000</v>
      </c>
      <c r="G137" s="8"/>
      <c r="H137" s="8"/>
      <c r="I137" s="8" t="s">
        <v>734</v>
      </c>
      <c r="J137" s="8" t="s">
        <v>687</v>
      </c>
      <c r="K137" s="8" t="s">
        <v>843</v>
      </c>
    </row>
    <row r="138" spans="1:11" s="303" customFormat="1" ht="56.25">
      <c r="A138" s="74">
        <v>133</v>
      </c>
      <c r="B138" s="8" t="s">
        <v>687</v>
      </c>
      <c r="C138" s="19" t="s">
        <v>819</v>
      </c>
      <c r="D138" s="8" t="s">
        <v>168</v>
      </c>
      <c r="E138" s="8" t="s">
        <v>346</v>
      </c>
      <c r="F138" s="312">
        <v>13100</v>
      </c>
      <c r="G138" s="8"/>
      <c r="H138" s="8"/>
      <c r="I138" s="8" t="s">
        <v>734</v>
      </c>
      <c r="J138" s="8" t="s">
        <v>687</v>
      </c>
      <c r="K138" s="8" t="s">
        <v>843</v>
      </c>
    </row>
    <row r="139" spans="1:11" s="303" customFormat="1" ht="56.25">
      <c r="A139" s="74">
        <v>134</v>
      </c>
      <c r="B139" s="8" t="s">
        <v>687</v>
      </c>
      <c r="C139" s="19" t="s">
        <v>820</v>
      </c>
      <c r="D139" s="8" t="s">
        <v>168</v>
      </c>
      <c r="E139" s="8" t="s">
        <v>346</v>
      </c>
      <c r="F139" s="312">
        <v>16100</v>
      </c>
      <c r="G139" s="8"/>
      <c r="H139" s="8"/>
      <c r="I139" s="8" t="s">
        <v>734</v>
      </c>
      <c r="J139" s="8" t="s">
        <v>687</v>
      </c>
      <c r="K139" s="8" t="s">
        <v>843</v>
      </c>
    </row>
    <row r="140" spans="1:11" s="303" customFormat="1" ht="75">
      <c r="A140" s="74">
        <v>135</v>
      </c>
      <c r="B140" s="8" t="s">
        <v>687</v>
      </c>
      <c r="C140" s="19" t="s">
        <v>821</v>
      </c>
      <c r="D140" s="8" t="s">
        <v>168</v>
      </c>
      <c r="E140" s="8" t="s">
        <v>346</v>
      </c>
      <c r="F140" s="312">
        <v>28700</v>
      </c>
      <c r="G140" s="8"/>
      <c r="H140" s="8"/>
      <c r="I140" s="8" t="s">
        <v>734</v>
      </c>
      <c r="J140" s="8" t="s">
        <v>687</v>
      </c>
      <c r="K140" s="8" t="s">
        <v>843</v>
      </c>
    </row>
    <row r="141" spans="1:11" s="303" customFormat="1" ht="56.25">
      <c r="A141" s="74">
        <v>136</v>
      </c>
      <c r="B141" s="8" t="s">
        <v>687</v>
      </c>
      <c r="C141" s="19" t="s">
        <v>822</v>
      </c>
      <c r="D141" s="8" t="s">
        <v>168</v>
      </c>
      <c r="E141" s="8" t="s">
        <v>346</v>
      </c>
      <c r="F141" s="312">
        <v>17000</v>
      </c>
      <c r="G141" s="8"/>
      <c r="H141" s="8"/>
      <c r="I141" s="8" t="s">
        <v>734</v>
      </c>
      <c r="J141" s="8" t="s">
        <v>687</v>
      </c>
      <c r="K141" s="8" t="s">
        <v>843</v>
      </c>
    </row>
    <row r="142" spans="1:11" s="303" customFormat="1" ht="75">
      <c r="A142" s="74">
        <v>137</v>
      </c>
      <c r="B142" s="8" t="s">
        <v>687</v>
      </c>
      <c r="C142" s="19" t="s">
        <v>823</v>
      </c>
      <c r="D142" s="8" t="s">
        <v>168</v>
      </c>
      <c r="E142" s="8" t="s">
        <v>346</v>
      </c>
      <c r="F142" s="312">
        <v>40400</v>
      </c>
      <c r="G142" s="8"/>
      <c r="H142" s="8"/>
      <c r="I142" s="8" t="s">
        <v>734</v>
      </c>
      <c r="J142" s="8" t="s">
        <v>687</v>
      </c>
      <c r="K142" s="8" t="s">
        <v>843</v>
      </c>
    </row>
    <row r="143" spans="1:11" s="303" customFormat="1" ht="56.25">
      <c r="A143" s="74">
        <v>138</v>
      </c>
      <c r="B143" s="8" t="s">
        <v>687</v>
      </c>
      <c r="C143" s="19" t="s">
        <v>824</v>
      </c>
      <c r="D143" s="8" t="s">
        <v>168</v>
      </c>
      <c r="E143" s="8" t="s">
        <v>346</v>
      </c>
      <c r="F143" s="312">
        <v>26800</v>
      </c>
      <c r="G143" s="8"/>
      <c r="H143" s="8"/>
      <c r="I143" s="8" t="s">
        <v>734</v>
      </c>
      <c r="J143" s="8" t="s">
        <v>687</v>
      </c>
      <c r="K143" s="8" t="s">
        <v>843</v>
      </c>
    </row>
    <row r="144" spans="1:11" s="303" customFormat="1" ht="56.25">
      <c r="A144" s="74">
        <v>139</v>
      </c>
      <c r="B144" s="8" t="s">
        <v>687</v>
      </c>
      <c r="C144" s="19" t="s">
        <v>825</v>
      </c>
      <c r="D144" s="8" t="s">
        <v>168</v>
      </c>
      <c r="E144" s="8" t="s">
        <v>346</v>
      </c>
      <c r="F144" s="312">
        <v>21600</v>
      </c>
      <c r="G144" s="8"/>
      <c r="H144" s="8"/>
      <c r="I144" s="8" t="s">
        <v>734</v>
      </c>
      <c r="J144" s="8" t="s">
        <v>687</v>
      </c>
      <c r="K144" s="8" t="s">
        <v>843</v>
      </c>
    </row>
    <row r="145" spans="1:27" s="303" customFormat="1" ht="75">
      <c r="A145" s="74">
        <v>140</v>
      </c>
      <c r="B145" s="8" t="s">
        <v>687</v>
      </c>
      <c r="C145" s="19" t="s">
        <v>826</v>
      </c>
      <c r="D145" s="8" t="s">
        <v>168</v>
      </c>
      <c r="E145" s="8" t="s">
        <v>346</v>
      </c>
      <c r="F145" s="312">
        <v>20900</v>
      </c>
      <c r="G145" s="8"/>
      <c r="H145" s="8"/>
      <c r="I145" s="8" t="s">
        <v>734</v>
      </c>
      <c r="J145" s="8" t="s">
        <v>687</v>
      </c>
      <c r="K145" s="8" t="s">
        <v>843</v>
      </c>
    </row>
    <row r="146" spans="1:27" s="303" customFormat="1" ht="75">
      <c r="A146" s="74">
        <v>141</v>
      </c>
      <c r="B146" s="8" t="s">
        <v>687</v>
      </c>
      <c r="C146" s="19" t="s">
        <v>827</v>
      </c>
      <c r="D146" s="8" t="s">
        <v>168</v>
      </c>
      <c r="E146" s="8" t="s">
        <v>346</v>
      </c>
      <c r="F146" s="312">
        <v>29100</v>
      </c>
      <c r="G146" s="8"/>
      <c r="H146" s="8"/>
      <c r="I146" s="8" t="s">
        <v>734</v>
      </c>
      <c r="J146" s="8" t="s">
        <v>687</v>
      </c>
      <c r="K146" s="8" t="s">
        <v>843</v>
      </c>
    </row>
    <row r="147" spans="1:27" s="303" customFormat="1" ht="37.5">
      <c r="A147" s="74">
        <v>142</v>
      </c>
      <c r="B147" s="8" t="s">
        <v>687</v>
      </c>
      <c r="C147" s="19" t="s">
        <v>828</v>
      </c>
      <c r="D147" s="8" t="s">
        <v>168</v>
      </c>
      <c r="E147" s="8" t="s">
        <v>346</v>
      </c>
      <c r="F147" s="312">
        <v>55000</v>
      </c>
      <c r="G147" s="8"/>
      <c r="H147" s="8"/>
      <c r="I147" s="8" t="s">
        <v>734</v>
      </c>
      <c r="J147" s="8" t="s">
        <v>687</v>
      </c>
      <c r="K147" s="8" t="s">
        <v>843</v>
      </c>
    </row>
    <row r="148" spans="1:27" s="303" customFormat="1" ht="37.5">
      <c r="A148" s="74">
        <v>143</v>
      </c>
      <c r="B148" s="8" t="s">
        <v>687</v>
      </c>
      <c r="C148" s="19" t="s">
        <v>829</v>
      </c>
      <c r="D148" s="8" t="s">
        <v>110</v>
      </c>
      <c r="E148" s="19" t="s">
        <v>832</v>
      </c>
      <c r="F148" s="312">
        <v>5000</v>
      </c>
      <c r="G148" s="8"/>
      <c r="H148" s="8"/>
      <c r="I148" s="8" t="s">
        <v>734</v>
      </c>
      <c r="J148" s="8" t="s">
        <v>687</v>
      </c>
      <c r="K148" s="8" t="s">
        <v>843</v>
      </c>
    </row>
    <row r="149" spans="1:27" s="303" customFormat="1">
      <c r="A149" s="74">
        <v>144</v>
      </c>
      <c r="B149" s="8" t="s">
        <v>687</v>
      </c>
      <c r="C149" s="19" t="s">
        <v>830</v>
      </c>
      <c r="D149" s="8" t="s">
        <v>110</v>
      </c>
      <c r="E149" s="19" t="s">
        <v>832</v>
      </c>
      <c r="F149" s="312">
        <v>5000</v>
      </c>
      <c r="G149" s="8"/>
      <c r="H149" s="8"/>
      <c r="I149" s="8" t="s">
        <v>734</v>
      </c>
      <c r="J149" s="8" t="s">
        <v>687</v>
      </c>
      <c r="K149" s="8" t="s">
        <v>843</v>
      </c>
    </row>
    <row r="150" spans="1:27" s="303" customFormat="1">
      <c r="A150" s="74">
        <v>145</v>
      </c>
      <c r="B150" s="8" t="s">
        <v>687</v>
      </c>
      <c r="C150" s="19" t="s">
        <v>831</v>
      </c>
      <c r="D150" s="8" t="s">
        <v>110</v>
      </c>
      <c r="E150" s="19" t="s">
        <v>832</v>
      </c>
      <c r="F150" s="312">
        <v>5000</v>
      </c>
      <c r="G150" s="8"/>
      <c r="H150" s="8"/>
      <c r="I150" s="8" t="s">
        <v>734</v>
      </c>
      <c r="J150" s="8" t="s">
        <v>687</v>
      </c>
      <c r="K150" s="8" t="s">
        <v>843</v>
      </c>
    </row>
    <row r="152" spans="1:27" s="88" customFormat="1">
      <c r="A152" s="304"/>
      <c r="B152" s="89" t="s">
        <v>485</v>
      </c>
      <c r="C152" s="305"/>
      <c r="D152" s="89"/>
      <c r="F152" s="279" t="s">
        <v>72</v>
      </c>
      <c r="I152" s="333" t="s">
        <v>836</v>
      </c>
      <c r="J152" s="333"/>
      <c r="K152" s="333"/>
      <c r="L152" s="304"/>
      <c r="R152" s="306"/>
      <c r="S152" s="307"/>
      <c r="T152" s="308"/>
      <c r="U152" s="306"/>
      <c r="V152" s="306"/>
      <c r="W152" s="306"/>
      <c r="X152" s="306"/>
      <c r="Y152" s="306"/>
      <c r="Z152" s="306"/>
      <c r="AA152" s="306"/>
    </row>
    <row r="153" spans="1:27" s="88" customFormat="1">
      <c r="A153" s="304"/>
      <c r="B153" s="89" t="s">
        <v>833</v>
      </c>
      <c r="C153" s="305"/>
      <c r="D153" s="89"/>
      <c r="F153" s="279" t="s">
        <v>834</v>
      </c>
      <c r="I153" s="333" t="s">
        <v>835</v>
      </c>
      <c r="J153" s="333"/>
      <c r="K153" s="333"/>
      <c r="L153" s="304"/>
      <c r="R153" s="306"/>
      <c r="S153" s="307"/>
      <c r="T153" s="308"/>
      <c r="U153" s="306"/>
      <c r="V153" s="306"/>
      <c r="W153" s="306"/>
      <c r="X153" s="306"/>
      <c r="Y153" s="306"/>
      <c r="Z153" s="306"/>
      <c r="AA153" s="306"/>
    </row>
    <row r="154" spans="1:27" s="325" customFormat="1">
      <c r="A154" s="325" t="s">
        <v>846</v>
      </c>
    </row>
    <row r="155" spans="1:27" s="88" customFormat="1">
      <c r="A155" s="89"/>
      <c r="B155" s="326" t="s">
        <v>845</v>
      </c>
      <c r="C155" s="326"/>
      <c r="D155" s="326"/>
      <c r="E155" s="326"/>
      <c r="F155" s="326"/>
      <c r="G155" s="326"/>
      <c r="H155" s="326"/>
      <c r="I155" s="326"/>
      <c r="J155" s="326"/>
      <c r="K155" s="326"/>
      <c r="L155" s="304"/>
      <c r="R155" s="89"/>
      <c r="S155" s="307"/>
      <c r="T155" s="308"/>
    </row>
    <row r="156" spans="1:27" s="324" customFormat="1"/>
  </sheetData>
  <mergeCells count="16">
    <mergeCell ref="A156:XFD156"/>
    <mergeCell ref="A154:XFD154"/>
    <mergeCell ref="B155:K155"/>
    <mergeCell ref="A2:K2"/>
    <mergeCell ref="A3:K3"/>
    <mergeCell ref="E4:F4"/>
    <mergeCell ref="G4:H4"/>
    <mergeCell ref="A4:A5"/>
    <mergeCell ref="B4:B5"/>
    <mergeCell ref="C4:C5"/>
    <mergeCell ref="I152:K152"/>
    <mergeCell ref="I153:K153"/>
    <mergeCell ref="D4:D5"/>
    <mergeCell ref="I4:I5"/>
    <mergeCell ref="J4:J5"/>
    <mergeCell ref="K4:K5"/>
  </mergeCells>
  <phoneticPr fontId="0" type="noConversion"/>
  <pageMargins left="0.19685039370078741" right="0" top="0.74803149606299213" bottom="0.59055118110236227" header="0.31496062992125984" footer="0.11811023622047245"/>
  <pageSetup paperSize="9" orientation="landscape" r:id="rId1"/>
  <headerFooter alignWithMargins="0">
    <oddHeader>&amp;Rแผ่นที่ &amp;P</oddHeader>
  </headerFooter>
  <rowBreaks count="1" manualBreakCount="1">
    <brk id="10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21"/>
  <sheetViews>
    <sheetView view="pageBreakPreview" zoomScale="125" zoomScaleNormal="125" zoomScaleSheetLayoutView="125" workbookViewId="0">
      <selection activeCell="F7" sqref="F7"/>
    </sheetView>
  </sheetViews>
  <sheetFormatPr defaultRowHeight="18.75"/>
  <cols>
    <col min="1" max="1" width="5.28515625" style="3" customWidth="1"/>
    <col min="2" max="2" width="13.7109375" style="3" customWidth="1"/>
    <col min="3" max="3" width="30.7109375" style="3" customWidth="1"/>
    <col min="4" max="4" width="26.140625" style="3" customWidth="1"/>
    <col min="5" max="5" width="12.7109375" style="23" customWidth="1"/>
    <col min="6" max="6" width="7.7109375" style="3" customWidth="1"/>
    <col min="7" max="7" width="13.28515625" style="3" customWidth="1"/>
    <col min="8" max="8" width="8.5703125" style="3" customWidth="1"/>
    <col min="9" max="9" width="8" style="3" customWidth="1"/>
    <col min="10" max="10" width="11" style="3" customWidth="1"/>
    <col min="11" max="16384" width="9.140625" style="3"/>
  </cols>
  <sheetData>
    <row r="1" spans="1:27">
      <c r="J1" s="5" t="s">
        <v>393</v>
      </c>
    </row>
    <row r="2" spans="1:27">
      <c r="A2" s="315" t="s">
        <v>492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27" ht="18.75" customHeight="1">
      <c r="A3" s="334" t="s">
        <v>159</v>
      </c>
      <c r="B3" s="334"/>
      <c r="C3" s="334"/>
      <c r="D3" s="334"/>
      <c r="E3" s="334"/>
      <c r="F3" s="334"/>
      <c r="G3" s="334"/>
      <c r="H3" s="334"/>
      <c r="I3" s="334"/>
      <c r="J3" s="334"/>
      <c r="K3" s="268"/>
    </row>
    <row r="4" spans="1:27" ht="19.5" customHeight="1">
      <c r="A4" s="313" t="s">
        <v>116</v>
      </c>
      <c r="B4" s="313" t="s">
        <v>394</v>
      </c>
      <c r="C4" s="313" t="s">
        <v>84</v>
      </c>
      <c r="D4" s="317" t="s">
        <v>85</v>
      </c>
      <c r="E4" s="318"/>
      <c r="F4" s="317" t="s">
        <v>88</v>
      </c>
      <c r="G4" s="319"/>
      <c r="H4" s="313" t="s">
        <v>90</v>
      </c>
      <c r="I4" s="313" t="s">
        <v>163</v>
      </c>
      <c r="J4" s="313" t="s">
        <v>91</v>
      </c>
    </row>
    <row r="5" spans="1:27" ht="35.25" customHeight="1">
      <c r="A5" s="314"/>
      <c r="B5" s="314"/>
      <c r="C5" s="314"/>
      <c r="D5" s="8" t="s">
        <v>86</v>
      </c>
      <c r="E5" s="9" t="s">
        <v>87</v>
      </c>
      <c r="F5" s="8" t="s">
        <v>89</v>
      </c>
      <c r="G5" s="10" t="s">
        <v>87</v>
      </c>
      <c r="H5" s="314"/>
      <c r="I5" s="314"/>
      <c r="J5" s="314"/>
    </row>
    <row r="6" spans="1:27">
      <c r="A6" s="22"/>
      <c r="B6" s="7"/>
      <c r="C6" s="21" t="s">
        <v>168</v>
      </c>
      <c r="D6" s="7"/>
      <c r="E6" s="17"/>
      <c r="F6" s="7"/>
      <c r="G6" s="7"/>
      <c r="H6" s="7"/>
      <c r="I6" s="13"/>
      <c r="J6" s="208"/>
    </row>
    <row r="7" spans="1:27" ht="38.25">
      <c r="A7" s="22">
        <v>1</v>
      </c>
      <c r="B7" s="8" t="s">
        <v>495</v>
      </c>
      <c r="C7" s="16" t="s">
        <v>493</v>
      </c>
      <c r="D7" s="8"/>
      <c r="E7" s="8"/>
      <c r="F7" s="33" t="s">
        <v>392</v>
      </c>
      <c r="G7" s="17">
        <v>2788000</v>
      </c>
      <c r="H7" s="33" t="s">
        <v>391</v>
      </c>
      <c r="I7" s="13" t="s">
        <v>390</v>
      </c>
      <c r="J7" s="14"/>
    </row>
    <row r="8" spans="1:27" ht="38.25">
      <c r="A8" s="22">
        <v>2</v>
      </c>
      <c r="B8" s="8" t="s">
        <v>495</v>
      </c>
      <c r="C8" s="16" t="s">
        <v>494</v>
      </c>
      <c r="D8" s="8"/>
      <c r="E8" s="8"/>
      <c r="F8" s="33" t="s">
        <v>392</v>
      </c>
      <c r="G8" s="17">
        <v>2788000</v>
      </c>
      <c r="H8" s="33" t="s">
        <v>391</v>
      </c>
      <c r="I8" s="13" t="s">
        <v>390</v>
      </c>
      <c r="J8" s="14"/>
    </row>
    <row r="9" spans="1:27">
      <c r="A9" s="24"/>
      <c r="B9" s="25"/>
      <c r="C9" s="26"/>
      <c r="D9" s="25"/>
      <c r="E9" s="27"/>
      <c r="F9" s="25"/>
      <c r="G9" s="25"/>
      <c r="H9" s="25"/>
      <c r="I9" s="24"/>
      <c r="J9" s="28"/>
    </row>
    <row r="10" spans="1:27">
      <c r="A10" s="24"/>
      <c r="B10" s="25"/>
      <c r="C10" s="26"/>
      <c r="D10" s="25"/>
      <c r="E10" s="27"/>
      <c r="F10" s="25"/>
      <c r="G10" s="25"/>
      <c r="H10" s="25"/>
      <c r="I10" s="24"/>
      <c r="J10" s="28"/>
    </row>
    <row r="11" spans="1:27">
      <c r="A11" s="24"/>
      <c r="B11" s="25"/>
      <c r="C11" s="26"/>
      <c r="D11" s="25"/>
      <c r="E11" s="27"/>
      <c r="F11" s="25"/>
      <c r="G11" s="25"/>
      <c r="H11" s="25"/>
      <c r="I11" s="24"/>
      <c r="J11" s="28"/>
    </row>
    <row r="12" spans="1:27" s="49" customFormat="1" ht="15.75">
      <c r="A12" s="44"/>
      <c r="B12" s="45"/>
      <c r="C12" s="46"/>
      <c r="D12" s="45"/>
      <c r="E12" s="335" t="s">
        <v>496</v>
      </c>
      <c r="F12" s="335"/>
      <c r="G12" s="335"/>
      <c r="H12" s="47"/>
      <c r="L12" s="50"/>
      <c r="R12" s="51"/>
      <c r="S12" s="52"/>
      <c r="T12" s="53"/>
      <c r="U12" s="51"/>
      <c r="V12" s="51"/>
      <c r="W12" s="51"/>
      <c r="X12" s="51"/>
      <c r="Y12" s="51"/>
      <c r="Z12" s="51"/>
      <c r="AA12" s="51"/>
    </row>
    <row r="13" spans="1:27" s="49" customFormat="1" ht="15.75">
      <c r="A13" s="44"/>
      <c r="B13" s="45"/>
      <c r="C13" s="46"/>
      <c r="D13" s="45"/>
      <c r="E13" s="335" t="s">
        <v>69</v>
      </c>
      <c r="F13" s="335"/>
      <c r="G13" s="335"/>
      <c r="H13" s="47"/>
      <c r="L13" s="50"/>
      <c r="R13" s="51"/>
      <c r="S13" s="52"/>
      <c r="T13" s="53"/>
      <c r="U13" s="51"/>
      <c r="V13" s="51"/>
      <c r="W13" s="51"/>
      <c r="X13" s="51"/>
      <c r="Y13" s="51"/>
      <c r="Z13" s="51"/>
      <c r="AA13" s="51"/>
    </row>
    <row r="14" spans="1:27" s="49" customFormat="1" ht="15.75">
      <c r="A14" s="54"/>
      <c r="B14" s="45"/>
      <c r="C14" s="52"/>
      <c r="D14" s="45"/>
      <c r="E14" s="335" t="s">
        <v>70</v>
      </c>
      <c r="F14" s="335"/>
      <c r="G14" s="335"/>
      <c r="L14" s="50"/>
      <c r="R14" s="54"/>
      <c r="S14" s="52"/>
      <c r="T14" s="53"/>
    </row>
    <row r="15" spans="1:27" s="54" customFormat="1" ht="15.75">
      <c r="B15" s="45"/>
      <c r="F15" s="55"/>
    </row>
    <row r="16" spans="1:27">
      <c r="D16" s="30"/>
    </row>
    <row r="17" spans="4:4">
      <c r="D17" s="30"/>
    </row>
    <row r="18" spans="4:4">
      <c r="D18" s="30"/>
    </row>
    <row r="19" spans="4:4">
      <c r="D19" s="30"/>
    </row>
    <row r="20" spans="4:4">
      <c r="D20" s="30"/>
    </row>
    <row r="21" spans="4:4">
      <c r="D21" s="30"/>
    </row>
  </sheetData>
  <mergeCells count="13">
    <mergeCell ref="A3:J3"/>
    <mergeCell ref="E12:G12"/>
    <mergeCell ref="E13:G13"/>
    <mergeCell ref="E14:G14"/>
    <mergeCell ref="A2:J2"/>
    <mergeCell ref="A4:A5"/>
    <mergeCell ref="B4:B5"/>
    <mergeCell ref="C4:C5"/>
    <mergeCell ref="D4:E4"/>
    <mergeCell ref="F4:G4"/>
    <mergeCell ref="H4:H5"/>
    <mergeCell ref="I4:I5"/>
    <mergeCell ref="J4:J5"/>
  </mergeCells>
  <pageMargins left="0.51181102362204722" right="0.47244094488188981" top="0.51181102362204722" bottom="0.43307086614173229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5"/>
  <sheetViews>
    <sheetView view="pageBreakPreview" zoomScale="125" zoomScaleNormal="100" zoomScaleSheetLayoutView="125" workbookViewId="0">
      <selection activeCell="H9" sqref="H9"/>
    </sheetView>
  </sheetViews>
  <sheetFormatPr defaultRowHeight="18.75"/>
  <cols>
    <col min="1" max="1" width="6.140625" style="30" customWidth="1"/>
    <col min="2" max="2" width="12.7109375" style="30" customWidth="1"/>
    <col min="3" max="3" width="25.140625" style="3" customWidth="1"/>
    <col min="4" max="4" width="9" style="30" customWidth="1"/>
    <col min="5" max="5" width="22.140625" style="34" customWidth="1"/>
    <col min="6" max="6" width="13.28515625" style="4" customWidth="1"/>
    <col min="7" max="7" width="8.85546875" style="30" customWidth="1"/>
    <col min="8" max="8" width="13.7109375" style="30" customWidth="1"/>
    <col min="9" max="9" width="8.7109375" style="30" customWidth="1"/>
    <col min="10" max="10" width="9.140625" style="30"/>
    <col min="11" max="11" width="10.5703125" style="30" customWidth="1"/>
    <col min="12" max="16384" width="9.140625" style="3"/>
  </cols>
  <sheetData>
    <row r="1" spans="1:27">
      <c r="K1" s="30" t="s">
        <v>158</v>
      </c>
    </row>
    <row r="2" spans="1:27" s="35" customFormat="1">
      <c r="A2" s="327" t="s">
        <v>652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1:27" s="35" customFormat="1">
      <c r="A3" s="327" t="s">
        <v>159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</row>
    <row r="4" spans="1:27" s="35" customFormat="1" ht="18.75" customHeight="1">
      <c r="A4" s="332" t="s">
        <v>116</v>
      </c>
      <c r="B4" s="313" t="s">
        <v>394</v>
      </c>
      <c r="C4" s="332" t="s">
        <v>108</v>
      </c>
      <c r="D4" s="332" t="s">
        <v>118</v>
      </c>
      <c r="E4" s="328" t="s">
        <v>85</v>
      </c>
      <c r="F4" s="329"/>
      <c r="G4" s="330" t="s">
        <v>88</v>
      </c>
      <c r="H4" s="331"/>
      <c r="I4" s="332" t="s">
        <v>90</v>
      </c>
      <c r="J4" s="332" t="s">
        <v>161</v>
      </c>
      <c r="K4" s="332" t="s">
        <v>91</v>
      </c>
    </row>
    <row r="5" spans="1:27" s="35" customFormat="1">
      <c r="A5" s="336"/>
      <c r="B5" s="314"/>
      <c r="C5" s="336"/>
      <c r="D5" s="336"/>
      <c r="E5" s="32" t="s">
        <v>86</v>
      </c>
      <c r="F5" s="36" t="s">
        <v>109</v>
      </c>
      <c r="G5" s="32" t="s">
        <v>89</v>
      </c>
      <c r="H5" s="37" t="s">
        <v>109</v>
      </c>
      <c r="I5" s="336"/>
      <c r="J5" s="336"/>
      <c r="K5" s="336"/>
    </row>
    <row r="6" spans="1:27" s="35" customFormat="1">
      <c r="A6" s="22"/>
      <c r="B6" s="7"/>
      <c r="C6" s="21" t="s">
        <v>168</v>
      </c>
      <c r="D6" s="7"/>
      <c r="E6" s="17"/>
      <c r="F6" s="7"/>
      <c r="G6" s="7"/>
      <c r="H6" s="7"/>
      <c r="I6" s="13"/>
      <c r="J6" s="14"/>
      <c r="K6" s="62"/>
    </row>
    <row r="7" spans="1:27" s="35" customFormat="1" ht="56.25">
      <c r="A7" s="74">
        <v>1</v>
      </c>
      <c r="B7" s="8" t="s">
        <v>650</v>
      </c>
      <c r="C7" s="16" t="s">
        <v>520</v>
      </c>
      <c r="D7" s="8" t="s">
        <v>168</v>
      </c>
      <c r="E7" s="8"/>
      <c r="F7" s="8"/>
      <c r="G7" s="8" t="s">
        <v>153</v>
      </c>
      <c r="H7" s="81">
        <v>2788000</v>
      </c>
      <c r="I7" s="33" t="s">
        <v>651</v>
      </c>
      <c r="J7" s="74">
        <v>180</v>
      </c>
      <c r="K7" s="38"/>
    </row>
    <row r="8" spans="1:27" s="35" customFormat="1" ht="56.25">
      <c r="A8" s="74">
        <v>2</v>
      </c>
      <c r="B8" s="8" t="s">
        <v>650</v>
      </c>
      <c r="C8" s="16" t="s">
        <v>521</v>
      </c>
      <c r="D8" s="8" t="s">
        <v>168</v>
      </c>
      <c r="E8" s="8"/>
      <c r="F8" s="8"/>
      <c r="G8" s="8" t="s">
        <v>153</v>
      </c>
      <c r="H8" s="81">
        <v>2788000</v>
      </c>
      <c r="I8" s="33" t="s">
        <v>651</v>
      </c>
      <c r="J8" s="74">
        <v>180</v>
      </c>
      <c r="K8" s="38"/>
    </row>
    <row r="9" spans="1:27">
      <c r="A9" s="25"/>
      <c r="B9" s="25"/>
      <c r="C9" s="26"/>
      <c r="D9" s="25"/>
      <c r="E9" s="25"/>
      <c r="F9" s="61"/>
      <c r="G9" s="25"/>
      <c r="H9" s="25"/>
      <c r="I9" s="25"/>
      <c r="J9" s="25"/>
      <c r="K9" s="25"/>
    </row>
    <row r="10" spans="1:27">
      <c r="A10" s="25"/>
      <c r="B10" s="25"/>
      <c r="C10" s="26"/>
      <c r="D10" s="25"/>
      <c r="E10" s="25"/>
      <c r="F10" s="61"/>
      <c r="G10" s="25"/>
      <c r="H10" s="25"/>
      <c r="I10" s="25"/>
      <c r="J10" s="25"/>
      <c r="K10" s="25"/>
    </row>
    <row r="11" spans="1:27">
      <c r="A11" s="25"/>
      <c r="B11" s="25"/>
      <c r="C11" s="26"/>
      <c r="D11" s="25"/>
      <c r="E11" s="25"/>
      <c r="F11" s="61"/>
      <c r="G11" s="25"/>
      <c r="H11" s="25"/>
      <c r="I11" s="25"/>
      <c r="J11" s="25"/>
      <c r="K11" s="25"/>
    </row>
    <row r="12" spans="1:27">
      <c r="A12" s="24"/>
      <c r="B12" s="25"/>
      <c r="C12" s="26"/>
      <c r="D12" s="25"/>
      <c r="E12" s="27"/>
      <c r="F12" s="25"/>
      <c r="G12" s="25"/>
      <c r="H12" s="25"/>
      <c r="I12" s="24"/>
      <c r="J12" s="28"/>
      <c r="K12" s="3"/>
    </row>
    <row r="13" spans="1:27" s="49" customFormat="1" ht="15.75">
      <c r="A13" s="44"/>
      <c r="B13" s="45"/>
      <c r="C13" s="46"/>
      <c r="D13" s="45"/>
      <c r="E13" s="335" t="s">
        <v>76</v>
      </c>
      <c r="F13" s="335"/>
      <c r="G13" s="335"/>
      <c r="H13" s="47"/>
      <c r="L13" s="50"/>
      <c r="R13" s="51"/>
      <c r="S13" s="52"/>
      <c r="T13" s="53"/>
      <c r="U13" s="51"/>
      <c r="V13" s="51"/>
      <c r="W13" s="51"/>
      <c r="X13" s="51"/>
      <c r="Y13" s="51"/>
      <c r="Z13" s="51"/>
      <c r="AA13" s="51"/>
    </row>
    <row r="14" spans="1:27" s="49" customFormat="1" ht="15.75">
      <c r="A14" s="44"/>
      <c r="B14" s="45"/>
      <c r="C14" s="46"/>
      <c r="D14" s="45"/>
      <c r="E14" s="335" t="s">
        <v>69</v>
      </c>
      <c r="F14" s="335"/>
      <c r="G14" s="335"/>
      <c r="H14" s="47"/>
      <c r="L14" s="50"/>
      <c r="R14" s="51"/>
      <c r="S14" s="52"/>
      <c r="T14" s="53"/>
      <c r="U14" s="51"/>
      <c r="V14" s="51"/>
      <c r="W14" s="51"/>
      <c r="X14" s="51"/>
      <c r="Y14" s="51"/>
      <c r="Z14" s="51"/>
      <c r="AA14" s="51"/>
    </row>
    <row r="15" spans="1:27" s="49" customFormat="1" ht="15.75">
      <c r="A15" s="54"/>
      <c r="B15" s="45"/>
      <c r="C15" s="52"/>
      <c r="D15" s="45"/>
      <c r="E15" s="335" t="s">
        <v>70</v>
      </c>
      <c r="F15" s="335"/>
      <c r="G15" s="335"/>
      <c r="L15" s="50"/>
      <c r="R15" s="54"/>
      <c r="S15" s="52"/>
      <c r="T15" s="53"/>
    </row>
  </sheetData>
  <mergeCells count="14">
    <mergeCell ref="J4:J5"/>
    <mergeCell ref="K4:K5"/>
    <mergeCell ref="E15:G15"/>
    <mergeCell ref="A2:K2"/>
    <mergeCell ref="A3:K3"/>
    <mergeCell ref="A4:A5"/>
    <mergeCell ref="B4:B5"/>
    <mergeCell ref="C4:C5"/>
    <mergeCell ref="D4:D5"/>
    <mergeCell ref="E4:F4"/>
    <mergeCell ref="E13:G13"/>
    <mergeCell ref="E14:G14"/>
    <mergeCell ref="G4:H4"/>
    <mergeCell ref="I4:I5"/>
  </mergeCells>
  <phoneticPr fontId="0" type="noConversion"/>
  <pageMargins left="0.15748031496062992" right="0.15748031496062992" top="0.62992125984251968" bottom="0.27559055118110237" header="0.82677165354330717" footer="0.43307086614173229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74"/>
  <sheetViews>
    <sheetView view="pageBreakPreview" zoomScale="125" zoomScaleNormal="100" zoomScaleSheetLayoutView="125" workbookViewId="0">
      <selection activeCell="B103" sqref="B103:B104"/>
    </sheetView>
  </sheetViews>
  <sheetFormatPr defaultRowHeight="18.75"/>
  <cols>
    <col min="1" max="1" width="5" style="3" customWidth="1"/>
    <col min="2" max="2" width="28.42578125" style="3" customWidth="1"/>
    <col min="3" max="3" width="11.42578125" style="3" customWidth="1"/>
    <col min="4" max="4" width="8.28515625" style="3" customWidth="1"/>
    <col min="5" max="5" width="12.5703125" style="23" customWidth="1"/>
    <col min="6" max="6" width="14.42578125" style="23" customWidth="1"/>
    <col min="7" max="7" width="13.42578125" style="3" customWidth="1"/>
    <col min="8" max="12" width="2.7109375" style="3" customWidth="1"/>
    <col min="13" max="13" width="11.7109375" style="23" customWidth="1"/>
    <col min="14" max="14" width="17" style="23" bestFit="1" customWidth="1"/>
    <col min="15" max="15" width="16.5703125" style="273" customWidth="1"/>
    <col min="16" max="16" width="7.140625" style="3" customWidth="1"/>
    <col min="17" max="21" width="9.140625" style="26"/>
    <col min="22" max="16384" width="9.140625" style="3"/>
  </cols>
  <sheetData>
    <row r="1" spans="1:21" ht="37.5">
      <c r="P1" s="3" t="s">
        <v>112</v>
      </c>
    </row>
    <row r="2" spans="1:21" s="35" customFormat="1" ht="21.75" customHeight="1">
      <c r="C2" s="64" t="s">
        <v>518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41" t="s">
        <v>113</v>
      </c>
      <c r="O2" s="342"/>
      <c r="P2" s="342"/>
      <c r="Q2" s="65"/>
      <c r="R2" s="65"/>
      <c r="S2" s="65"/>
      <c r="T2" s="65"/>
      <c r="U2" s="65"/>
    </row>
    <row r="3" spans="1:21" s="35" customFormat="1" ht="21.75" customHeight="1">
      <c r="C3" s="315" t="s">
        <v>159</v>
      </c>
      <c r="D3" s="320"/>
      <c r="E3" s="320"/>
      <c r="F3" s="320"/>
      <c r="G3" s="320"/>
      <c r="H3" s="320"/>
      <c r="I3" s="320"/>
      <c r="J3" s="320"/>
      <c r="K3" s="320"/>
      <c r="L3" s="320"/>
      <c r="M3" s="31"/>
      <c r="N3" s="341" t="s">
        <v>114</v>
      </c>
      <c r="O3" s="342"/>
      <c r="P3" s="342"/>
      <c r="Q3" s="65"/>
      <c r="R3" s="65"/>
      <c r="S3" s="65"/>
      <c r="T3" s="65"/>
      <c r="U3" s="65"/>
    </row>
    <row r="4" spans="1:21" s="35" customFormat="1" ht="21.75" customHeight="1">
      <c r="C4" s="343" t="s">
        <v>519</v>
      </c>
      <c r="D4" s="322"/>
      <c r="E4" s="322"/>
      <c r="F4" s="322"/>
      <c r="G4" s="322"/>
      <c r="H4" s="322"/>
      <c r="I4" s="322"/>
      <c r="J4" s="322"/>
      <c r="K4" s="322"/>
      <c r="L4" s="322"/>
      <c r="M4" s="31"/>
      <c r="N4" s="341" t="s">
        <v>115</v>
      </c>
      <c r="O4" s="342"/>
      <c r="P4" s="342"/>
      <c r="Q4" s="65"/>
      <c r="R4" s="65"/>
      <c r="S4" s="65"/>
      <c r="T4" s="65"/>
      <c r="U4" s="65"/>
    </row>
    <row r="5" spans="1:21" s="35" customFormat="1" ht="12.75" customHeight="1">
      <c r="E5" s="66"/>
      <c r="F5" s="66"/>
      <c r="M5" s="66"/>
      <c r="N5" s="66"/>
      <c r="O5" s="274"/>
      <c r="Q5" s="65"/>
      <c r="R5" s="65"/>
      <c r="S5" s="65"/>
      <c r="T5" s="65"/>
      <c r="U5" s="65"/>
    </row>
    <row r="6" spans="1:21" s="35" customFormat="1" ht="18.75" customHeight="1">
      <c r="A6" s="332" t="s">
        <v>185</v>
      </c>
      <c r="B6" s="332" t="s">
        <v>117</v>
      </c>
      <c r="C6" s="332" t="s">
        <v>118</v>
      </c>
      <c r="D6" s="332" t="s">
        <v>119</v>
      </c>
      <c r="E6" s="337" t="s">
        <v>87</v>
      </c>
      <c r="F6" s="332" t="s">
        <v>395</v>
      </c>
      <c r="G6" s="332" t="s">
        <v>120</v>
      </c>
      <c r="H6" s="340" t="s">
        <v>121</v>
      </c>
      <c r="I6" s="340"/>
      <c r="J6" s="340"/>
      <c r="K6" s="340"/>
      <c r="L6" s="340"/>
      <c r="M6" s="337" t="s">
        <v>122</v>
      </c>
      <c r="N6" s="337" t="s">
        <v>123</v>
      </c>
      <c r="O6" s="344" t="s">
        <v>124</v>
      </c>
      <c r="P6" s="332" t="s">
        <v>91</v>
      </c>
      <c r="Q6" s="65"/>
      <c r="R6" s="65"/>
      <c r="S6" s="65"/>
      <c r="T6" s="65"/>
      <c r="U6" s="65"/>
    </row>
    <row r="7" spans="1:21" s="35" customFormat="1">
      <c r="A7" s="314"/>
      <c r="B7" s="339"/>
      <c r="C7" s="314"/>
      <c r="D7" s="339"/>
      <c r="E7" s="339"/>
      <c r="F7" s="314"/>
      <c r="G7" s="314"/>
      <c r="H7" s="67">
        <v>1</v>
      </c>
      <c r="I7" s="67">
        <v>2</v>
      </c>
      <c r="J7" s="67">
        <v>3</v>
      </c>
      <c r="K7" s="67">
        <v>4</v>
      </c>
      <c r="L7" s="68">
        <v>5</v>
      </c>
      <c r="M7" s="314"/>
      <c r="N7" s="338"/>
      <c r="O7" s="345"/>
      <c r="P7" s="339"/>
      <c r="Q7" s="65"/>
      <c r="R7" s="65"/>
      <c r="S7" s="65"/>
      <c r="T7" s="65"/>
      <c r="U7" s="65"/>
    </row>
    <row r="8" spans="1:21" s="35" customFormat="1">
      <c r="A8" s="8"/>
      <c r="B8" s="75" t="s">
        <v>110</v>
      </c>
      <c r="C8" s="8"/>
      <c r="D8" s="19"/>
      <c r="E8" s="19"/>
      <c r="F8" s="8"/>
      <c r="G8" s="8"/>
      <c r="H8" s="67"/>
      <c r="I8" s="67"/>
      <c r="J8" s="67"/>
      <c r="K8" s="67"/>
      <c r="L8" s="68"/>
      <c r="M8" s="8"/>
      <c r="N8" s="275"/>
      <c r="O8" s="76"/>
      <c r="P8" s="19"/>
      <c r="Q8" s="65"/>
      <c r="R8" s="65"/>
      <c r="S8" s="65"/>
      <c r="T8" s="65"/>
      <c r="U8" s="65"/>
    </row>
    <row r="9" spans="1:21" s="35" customFormat="1">
      <c r="A9" s="74">
        <v>1</v>
      </c>
      <c r="B9" s="11" t="s">
        <v>227</v>
      </c>
      <c r="C9" s="8" t="s">
        <v>110</v>
      </c>
      <c r="D9" s="8"/>
      <c r="E9" s="12">
        <v>200000</v>
      </c>
      <c r="F9" s="29">
        <f>200000-18050</f>
        <v>181950</v>
      </c>
      <c r="G9" s="8" t="s">
        <v>424</v>
      </c>
      <c r="H9" s="8"/>
      <c r="I9" s="8"/>
      <c r="J9" s="8"/>
      <c r="K9" s="8"/>
      <c r="L9" s="8" t="s">
        <v>125</v>
      </c>
      <c r="M9" s="29">
        <f>+รายการ!I3</f>
        <v>89800</v>
      </c>
      <c r="N9" s="29">
        <f>F9-M9</f>
        <v>92150</v>
      </c>
      <c r="O9" s="76"/>
      <c r="P9" s="19"/>
      <c r="Q9" s="65"/>
      <c r="R9" s="65"/>
      <c r="S9" s="65"/>
      <c r="T9" s="65"/>
      <c r="U9" s="65"/>
    </row>
    <row r="10" spans="1:21" s="35" customFormat="1" ht="47.25">
      <c r="A10" s="74">
        <v>2</v>
      </c>
      <c r="B10" s="11" t="s">
        <v>82</v>
      </c>
      <c r="C10" s="8" t="s">
        <v>110</v>
      </c>
      <c r="D10" s="8"/>
      <c r="E10" s="12">
        <v>500000</v>
      </c>
      <c r="F10" s="29">
        <f>+E10-500000</f>
        <v>0</v>
      </c>
      <c r="G10" s="8" t="s">
        <v>424</v>
      </c>
      <c r="H10" s="8"/>
      <c r="I10" s="8"/>
      <c r="J10" s="8"/>
      <c r="K10" s="8"/>
      <c r="L10" s="8"/>
      <c r="M10" s="29"/>
      <c r="N10" s="29">
        <f>+F10</f>
        <v>0</v>
      </c>
      <c r="O10" s="76"/>
      <c r="P10" s="14" t="s">
        <v>398</v>
      </c>
      <c r="Q10" s="65"/>
      <c r="R10" s="65"/>
      <c r="S10" s="65"/>
      <c r="T10" s="65"/>
      <c r="U10" s="65"/>
    </row>
    <row r="11" spans="1:21" s="35" customFormat="1" ht="47.25">
      <c r="A11" s="74">
        <v>3</v>
      </c>
      <c r="B11" s="11" t="s">
        <v>523</v>
      </c>
      <c r="C11" s="8" t="s">
        <v>110</v>
      </c>
      <c r="D11" s="8"/>
      <c r="E11" s="12">
        <v>100000</v>
      </c>
      <c r="F11" s="29">
        <v>0</v>
      </c>
      <c r="G11" s="8" t="s">
        <v>424</v>
      </c>
      <c r="H11" s="8"/>
      <c r="I11" s="8"/>
      <c r="J11" s="8"/>
      <c r="K11" s="8"/>
      <c r="L11" s="8"/>
      <c r="M11" s="29"/>
      <c r="N11" s="29">
        <f>+F11</f>
        <v>0</v>
      </c>
      <c r="O11" s="76"/>
      <c r="P11" s="14" t="s">
        <v>398</v>
      </c>
      <c r="Q11" s="65"/>
      <c r="R11" s="65"/>
      <c r="S11" s="65"/>
      <c r="T11" s="65"/>
      <c r="U11" s="65"/>
    </row>
    <row r="12" spans="1:21" s="35" customFormat="1">
      <c r="A12" s="74">
        <v>4</v>
      </c>
      <c r="B12" s="11" t="s">
        <v>97</v>
      </c>
      <c r="C12" s="8" t="s">
        <v>110</v>
      </c>
      <c r="D12" s="8"/>
      <c r="E12" s="12">
        <v>50000</v>
      </c>
      <c r="F12" s="29"/>
      <c r="G12" s="8" t="s">
        <v>424</v>
      </c>
      <c r="H12" s="8"/>
      <c r="I12" s="8"/>
      <c r="J12" s="8"/>
      <c r="K12" s="8"/>
      <c r="L12" s="8" t="s">
        <v>125</v>
      </c>
      <c r="M12" s="29">
        <f>+รายการ!I6</f>
        <v>29039</v>
      </c>
      <c r="N12" s="29">
        <f>E12-M12</f>
        <v>20961</v>
      </c>
      <c r="O12" s="76"/>
      <c r="P12" s="19"/>
      <c r="Q12" s="65"/>
      <c r="R12" s="65"/>
      <c r="S12" s="65"/>
      <c r="T12" s="65"/>
      <c r="U12" s="65"/>
    </row>
    <row r="13" spans="1:21" s="35" customFormat="1" ht="37.5">
      <c r="A13" s="74">
        <v>5</v>
      </c>
      <c r="B13" s="16" t="s">
        <v>427</v>
      </c>
      <c r="C13" s="8" t="s">
        <v>110</v>
      </c>
      <c r="D13" s="8"/>
      <c r="E13" s="17">
        <v>130000</v>
      </c>
      <c r="F13" s="29">
        <f>130000-10000</f>
        <v>120000</v>
      </c>
      <c r="G13" s="15" t="s">
        <v>424</v>
      </c>
      <c r="H13" s="8"/>
      <c r="I13" s="8"/>
      <c r="J13" s="8"/>
      <c r="K13" s="8"/>
      <c r="L13" s="8" t="s">
        <v>125</v>
      </c>
      <c r="M13" s="29">
        <v>120000</v>
      </c>
      <c r="N13" s="29">
        <f t="shared" ref="N13:N18" si="0">F13-M13</f>
        <v>0</v>
      </c>
      <c r="O13" s="76"/>
      <c r="P13" s="19"/>
      <c r="Q13" s="65"/>
      <c r="R13" s="65"/>
      <c r="S13" s="65"/>
      <c r="T13" s="65"/>
      <c r="U13" s="65"/>
    </row>
    <row r="14" spans="1:21" s="35" customFormat="1" ht="37.5">
      <c r="A14" s="74">
        <v>6</v>
      </c>
      <c r="B14" s="16" t="s">
        <v>428</v>
      </c>
      <c r="C14" s="8" t="s">
        <v>110</v>
      </c>
      <c r="D14" s="8"/>
      <c r="E14" s="17">
        <v>99000</v>
      </c>
      <c r="F14" s="29">
        <f>99000-9000</f>
        <v>90000</v>
      </c>
      <c r="G14" s="15" t="s">
        <v>424</v>
      </c>
      <c r="H14" s="8"/>
      <c r="I14" s="8"/>
      <c r="J14" s="8"/>
      <c r="K14" s="8"/>
      <c r="L14" s="8" t="s">
        <v>125</v>
      </c>
      <c r="M14" s="29">
        <v>90000</v>
      </c>
      <c r="N14" s="29">
        <f t="shared" si="0"/>
        <v>0</v>
      </c>
      <c r="O14" s="76"/>
      <c r="P14" s="19"/>
      <c r="Q14" s="65"/>
      <c r="R14" s="65"/>
      <c r="S14" s="65"/>
      <c r="T14" s="65"/>
      <c r="U14" s="65"/>
    </row>
    <row r="15" spans="1:21" s="35" customFormat="1">
      <c r="A15" s="74">
        <v>7</v>
      </c>
      <c r="B15" s="16" t="s">
        <v>372</v>
      </c>
      <c r="C15" s="8" t="s">
        <v>110</v>
      </c>
      <c r="D15" s="8"/>
      <c r="E15" s="17">
        <v>40000</v>
      </c>
      <c r="F15" s="29">
        <f>40000-6600</f>
        <v>33400</v>
      </c>
      <c r="G15" s="15" t="s">
        <v>424</v>
      </c>
      <c r="H15" s="8"/>
      <c r="I15" s="8"/>
      <c r="J15" s="8"/>
      <c r="K15" s="8"/>
      <c r="L15" s="8" t="s">
        <v>125</v>
      </c>
      <c r="M15" s="29">
        <v>33400</v>
      </c>
      <c r="N15" s="29">
        <f t="shared" si="0"/>
        <v>0</v>
      </c>
      <c r="O15" s="76"/>
      <c r="P15" s="19"/>
      <c r="Q15" s="65"/>
      <c r="R15" s="65"/>
      <c r="S15" s="65"/>
      <c r="T15" s="65"/>
      <c r="U15" s="65"/>
    </row>
    <row r="16" spans="1:21" s="35" customFormat="1">
      <c r="A16" s="74">
        <v>8</v>
      </c>
      <c r="B16" s="16" t="s">
        <v>429</v>
      </c>
      <c r="C16" s="8" t="s">
        <v>110</v>
      </c>
      <c r="D16" s="8"/>
      <c r="E16" s="17">
        <v>20000</v>
      </c>
      <c r="F16" s="29">
        <f>20000-10</f>
        <v>19990</v>
      </c>
      <c r="G16" s="15" t="s">
        <v>424</v>
      </c>
      <c r="H16" s="8"/>
      <c r="I16" s="8"/>
      <c r="J16" s="8"/>
      <c r="K16" s="8"/>
      <c r="L16" s="8" t="s">
        <v>125</v>
      </c>
      <c r="M16" s="29">
        <v>19990</v>
      </c>
      <c r="N16" s="29">
        <f t="shared" si="0"/>
        <v>0</v>
      </c>
      <c r="O16" s="76"/>
      <c r="P16" s="19"/>
      <c r="Q16" s="65"/>
      <c r="R16" s="65"/>
      <c r="S16" s="65"/>
      <c r="T16" s="65"/>
      <c r="U16" s="65"/>
    </row>
    <row r="17" spans="1:21" s="35" customFormat="1" ht="37.5">
      <c r="A17" s="74">
        <v>9</v>
      </c>
      <c r="B17" s="16" t="s">
        <v>436</v>
      </c>
      <c r="C17" s="8" t="s">
        <v>110</v>
      </c>
      <c r="D17" s="8"/>
      <c r="E17" s="17">
        <v>48000</v>
      </c>
      <c r="F17" s="29">
        <f>48000-1200</f>
        <v>46800</v>
      </c>
      <c r="G17" s="15" t="s">
        <v>424</v>
      </c>
      <c r="H17" s="8"/>
      <c r="I17" s="8"/>
      <c r="J17" s="8"/>
      <c r="K17" s="8"/>
      <c r="L17" s="8" t="s">
        <v>125</v>
      </c>
      <c r="M17" s="29">
        <v>46800</v>
      </c>
      <c r="N17" s="29">
        <f t="shared" si="0"/>
        <v>0</v>
      </c>
      <c r="O17" s="76"/>
      <c r="P17" s="19"/>
      <c r="Q17" s="65"/>
      <c r="R17" s="65"/>
      <c r="S17" s="65"/>
      <c r="T17" s="65"/>
      <c r="U17" s="65"/>
    </row>
    <row r="18" spans="1:21" s="35" customFormat="1" ht="37.5">
      <c r="A18" s="74">
        <v>10</v>
      </c>
      <c r="B18" s="16" t="s">
        <v>524</v>
      </c>
      <c r="C18" s="8" t="s">
        <v>110</v>
      </c>
      <c r="D18" s="8"/>
      <c r="E18" s="17">
        <v>9600</v>
      </c>
      <c r="F18" s="29">
        <f>9600-3000</f>
        <v>6600</v>
      </c>
      <c r="G18" s="15" t="s">
        <v>424</v>
      </c>
      <c r="H18" s="8"/>
      <c r="I18" s="8"/>
      <c r="J18" s="8"/>
      <c r="K18" s="8"/>
      <c r="L18" s="8" t="s">
        <v>125</v>
      </c>
      <c r="M18" s="29">
        <v>6600</v>
      </c>
      <c r="N18" s="29">
        <f t="shared" si="0"/>
        <v>0</v>
      </c>
      <c r="O18" s="76"/>
      <c r="P18" s="19"/>
      <c r="Q18" s="65"/>
      <c r="R18" s="65"/>
      <c r="S18" s="65"/>
      <c r="T18" s="65"/>
      <c r="U18" s="65"/>
    </row>
    <row r="19" spans="1:21" s="35" customFormat="1" ht="47.25">
      <c r="A19" s="74">
        <v>11</v>
      </c>
      <c r="B19" s="16" t="s">
        <v>358</v>
      </c>
      <c r="C19" s="8" t="s">
        <v>110</v>
      </c>
      <c r="D19" s="8"/>
      <c r="E19" s="17">
        <v>50000</v>
      </c>
      <c r="F19" s="29">
        <f>50000-50000</f>
        <v>0</v>
      </c>
      <c r="G19" s="15" t="s">
        <v>424</v>
      </c>
      <c r="H19" s="8"/>
      <c r="I19" s="8"/>
      <c r="J19" s="8"/>
      <c r="K19" s="8"/>
      <c r="L19" s="8"/>
      <c r="M19" s="29"/>
      <c r="N19" s="29">
        <f>+F19</f>
        <v>0</v>
      </c>
      <c r="O19" s="76"/>
      <c r="P19" s="14" t="s">
        <v>398</v>
      </c>
      <c r="Q19" s="65"/>
      <c r="R19" s="65"/>
      <c r="S19" s="65"/>
      <c r="T19" s="65"/>
      <c r="U19" s="65"/>
    </row>
    <row r="20" spans="1:21" s="35" customFormat="1" ht="93.75">
      <c r="A20" s="74">
        <v>12</v>
      </c>
      <c r="B20" s="16" t="s">
        <v>360</v>
      </c>
      <c r="C20" s="8" t="s">
        <v>110</v>
      </c>
      <c r="D20" s="8"/>
      <c r="E20" s="17">
        <v>20000</v>
      </c>
      <c r="F20" s="29">
        <f>20000-20000</f>
        <v>0</v>
      </c>
      <c r="G20" s="8" t="s">
        <v>424</v>
      </c>
      <c r="H20" s="8"/>
      <c r="I20" s="8"/>
      <c r="J20" s="8"/>
      <c r="K20" s="8"/>
      <c r="L20" s="8"/>
      <c r="M20" s="29"/>
      <c r="N20" s="29">
        <f>+F20</f>
        <v>0</v>
      </c>
      <c r="O20" s="76"/>
      <c r="P20" s="14" t="s">
        <v>398</v>
      </c>
      <c r="Q20" s="65"/>
      <c r="R20" s="65"/>
      <c r="S20" s="65"/>
      <c r="T20" s="65"/>
      <c r="U20" s="65"/>
    </row>
    <row r="21" spans="1:21" s="35" customFormat="1" ht="37.5">
      <c r="A21" s="74">
        <v>13</v>
      </c>
      <c r="B21" s="16" t="s">
        <v>337</v>
      </c>
      <c r="C21" s="8" t="s">
        <v>110</v>
      </c>
      <c r="D21" s="8"/>
      <c r="E21" s="17">
        <v>10000</v>
      </c>
      <c r="F21" s="29">
        <f>10000+80000</f>
        <v>90000</v>
      </c>
      <c r="G21" s="15" t="s">
        <v>424</v>
      </c>
      <c r="H21" s="8"/>
      <c r="I21" s="8"/>
      <c r="J21" s="8"/>
      <c r="K21" s="8"/>
      <c r="L21" s="8"/>
      <c r="M21" s="29">
        <f>+รายการ!I15</f>
        <v>0</v>
      </c>
      <c r="N21" s="29">
        <f>F21-M21</f>
        <v>90000</v>
      </c>
      <c r="O21" s="76"/>
      <c r="P21" s="19"/>
      <c r="Q21" s="65"/>
      <c r="R21" s="65"/>
      <c r="S21" s="65"/>
      <c r="T21" s="65"/>
      <c r="U21" s="65"/>
    </row>
    <row r="22" spans="1:21" s="35" customFormat="1" ht="37.5">
      <c r="A22" s="74">
        <v>14</v>
      </c>
      <c r="B22" s="16" t="s">
        <v>529</v>
      </c>
      <c r="C22" s="8" t="s">
        <v>110</v>
      </c>
      <c r="D22" s="8"/>
      <c r="E22" s="17">
        <v>35000</v>
      </c>
      <c r="F22" s="29">
        <f>35000-10110</f>
        <v>24890</v>
      </c>
      <c r="G22" s="15" t="s">
        <v>424</v>
      </c>
      <c r="H22" s="8"/>
      <c r="I22" s="8"/>
      <c r="J22" s="8"/>
      <c r="K22" s="8"/>
      <c r="L22" s="8"/>
      <c r="M22" s="29">
        <f>+รายการ!I16</f>
        <v>0</v>
      </c>
      <c r="N22" s="29">
        <f t="shared" ref="N22:N30" si="1">E22-M22</f>
        <v>35000</v>
      </c>
      <c r="O22" s="76"/>
      <c r="P22" s="19"/>
      <c r="Q22" s="65"/>
      <c r="R22" s="65"/>
      <c r="S22" s="65"/>
      <c r="T22" s="65"/>
      <c r="U22" s="65"/>
    </row>
    <row r="23" spans="1:21" s="35" customFormat="1" ht="47.25">
      <c r="A23" s="74">
        <v>15</v>
      </c>
      <c r="B23" s="16" t="s">
        <v>530</v>
      </c>
      <c r="C23" s="8" t="s">
        <v>110</v>
      </c>
      <c r="D23" s="8"/>
      <c r="E23" s="17">
        <v>50000</v>
      </c>
      <c r="F23" s="29">
        <f>50000-50000</f>
        <v>0</v>
      </c>
      <c r="G23" s="15" t="s">
        <v>424</v>
      </c>
      <c r="H23" s="8"/>
      <c r="I23" s="8"/>
      <c r="J23" s="8"/>
      <c r="K23" s="8"/>
      <c r="L23" s="8"/>
      <c r="M23" s="29">
        <f>+รายการ!H17</f>
        <v>0</v>
      </c>
      <c r="N23" s="29">
        <f>F23-M23</f>
        <v>0</v>
      </c>
      <c r="O23" s="76"/>
      <c r="P23" s="14" t="s">
        <v>398</v>
      </c>
      <c r="Q23" s="65"/>
      <c r="R23" s="65"/>
      <c r="S23" s="65"/>
      <c r="T23" s="65"/>
      <c r="U23" s="65"/>
    </row>
    <row r="24" spans="1:21" s="35" customFormat="1" ht="56.25">
      <c r="A24" s="74">
        <v>16</v>
      </c>
      <c r="B24" s="16" t="s">
        <v>441</v>
      </c>
      <c r="C24" s="8" t="s">
        <v>110</v>
      </c>
      <c r="D24" s="8"/>
      <c r="E24" s="17">
        <v>15000</v>
      </c>
      <c r="F24" s="29"/>
      <c r="G24" s="15" t="s">
        <v>424</v>
      </c>
      <c r="H24" s="8"/>
      <c r="I24" s="8"/>
      <c r="J24" s="8"/>
      <c r="K24" s="8"/>
      <c r="L24" s="8" t="s">
        <v>125</v>
      </c>
      <c r="M24" s="29">
        <f>+รายการ!I18</f>
        <v>15000</v>
      </c>
      <c r="N24" s="29">
        <f t="shared" si="1"/>
        <v>0</v>
      </c>
      <c r="O24" s="76"/>
      <c r="P24" s="19"/>
      <c r="Q24" s="65"/>
      <c r="R24" s="65"/>
      <c r="S24" s="65"/>
      <c r="T24" s="65"/>
      <c r="U24" s="65"/>
    </row>
    <row r="25" spans="1:21" s="35" customFormat="1" ht="56.25">
      <c r="A25" s="74">
        <v>17</v>
      </c>
      <c r="B25" s="16" t="s">
        <v>442</v>
      </c>
      <c r="C25" s="8" t="s">
        <v>110</v>
      </c>
      <c r="D25" s="8"/>
      <c r="E25" s="17">
        <v>30000</v>
      </c>
      <c r="F25" s="29">
        <f>30000-30000</f>
        <v>0</v>
      </c>
      <c r="G25" s="15" t="s">
        <v>424</v>
      </c>
      <c r="H25" s="8"/>
      <c r="I25" s="8"/>
      <c r="J25" s="8"/>
      <c r="K25" s="8"/>
      <c r="L25" s="8"/>
      <c r="M25" s="29">
        <f>+F25</f>
        <v>0</v>
      </c>
      <c r="N25" s="29">
        <f>F25-M25</f>
        <v>0</v>
      </c>
      <c r="O25" s="76"/>
      <c r="P25" s="14" t="s">
        <v>398</v>
      </c>
      <c r="Q25" s="65"/>
      <c r="R25" s="65"/>
      <c r="S25" s="65"/>
      <c r="T25" s="65"/>
      <c r="U25" s="65"/>
    </row>
    <row r="26" spans="1:21" s="35" customFormat="1" ht="37.5">
      <c r="A26" s="74">
        <v>18</v>
      </c>
      <c r="B26" s="16" t="s">
        <v>531</v>
      </c>
      <c r="C26" s="8" t="s">
        <v>110</v>
      </c>
      <c r="D26" s="8"/>
      <c r="E26" s="17">
        <v>95000</v>
      </c>
      <c r="F26" s="29">
        <f>95000-76300</f>
        <v>18700</v>
      </c>
      <c r="G26" s="15" t="s">
        <v>424</v>
      </c>
      <c r="H26" s="8"/>
      <c r="I26" s="8"/>
      <c r="J26" s="8"/>
      <c r="K26" s="8"/>
      <c r="L26" s="8"/>
      <c r="M26" s="29">
        <f>+รายการ!I20</f>
        <v>0</v>
      </c>
      <c r="N26" s="29">
        <f>F26-M26</f>
        <v>18700</v>
      </c>
      <c r="O26" s="76"/>
      <c r="P26" s="19"/>
      <c r="Q26" s="65"/>
      <c r="R26" s="65"/>
      <c r="S26" s="65"/>
      <c r="T26" s="65"/>
      <c r="U26" s="65"/>
    </row>
    <row r="27" spans="1:21" s="35" customFormat="1" ht="47.25">
      <c r="A27" s="74">
        <v>19</v>
      </c>
      <c r="B27" s="16" t="s">
        <v>489</v>
      </c>
      <c r="C27" s="8" t="s">
        <v>110</v>
      </c>
      <c r="D27" s="8"/>
      <c r="E27" s="17">
        <v>20000</v>
      </c>
      <c r="F27" s="29">
        <f>20000-20000</f>
        <v>0</v>
      </c>
      <c r="G27" s="15" t="s">
        <v>424</v>
      </c>
      <c r="H27" s="8"/>
      <c r="I27" s="8"/>
      <c r="J27" s="8"/>
      <c r="K27" s="8"/>
      <c r="L27" s="8"/>
      <c r="M27" s="29">
        <f>+รายการ!I21</f>
        <v>0</v>
      </c>
      <c r="N27" s="29">
        <f>F27-M27</f>
        <v>0</v>
      </c>
      <c r="O27" s="76"/>
      <c r="P27" s="14" t="s">
        <v>398</v>
      </c>
      <c r="Q27" s="65"/>
      <c r="R27" s="65"/>
      <c r="S27" s="65"/>
      <c r="T27" s="65"/>
      <c r="U27" s="65"/>
    </row>
    <row r="28" spans="1:21" s="35" customFormat="1" ht="37.5">
      <c r="A28" s="74">
        <v>20</v>
      </c>
      <c r="B28" s="16" t="s">
        <v>445</v>
      </c>
      <c r="C28" s="8" t="s">
        <v>110</v>
      </c>
      <c r="D28" s="8"/>
      <c r="E28" s="17">
        <v>17000</v>
      </c>
      <c r="F28" s="29"/>
      <c r="G28" s="15" t="s">
        <v>424</v>
      </c>
      <c r="H28" s="8"/>
      <c r="I28" s="8"/>
      <c r="J28" s="8"/>
      <c r="K28" s="8"/>
      <c r="L28" s="8"/>
      <c r="M28" s="29">
        <f>+รายการ!I22</f>
        <v>0</v>
      </c>
      <c r="N28" s="29">
        <f t="shared" si="1"/>
        <v>17000</v>
      </c>
      <c r="O28" s="76"/>
      <c r="P28" s="19"/>
      <c r="Q28" s="65"/>
      <c r="R28" s="65"/>
      <c r="S28" s="65"/>
      <c r="T28" s="65"/>
      <c r="U28" s="65"/>
    </row>
    <row r="29" spans="1:21" s="35" customFormat="1" ht="37.5">
      <c r="A29" s="74">
        <v>21</v>
      </c>
      <c r="B29" s="16" t="s">
        <v>532</v>
      </c>
      <c r="C29" s="8" t="s">
        <v>110</v>
      </c>
      <c r="D29" s="8"/>
      <c r="E29" s="17">
        <v>60000</v>
      </c>
      <c r="F29" s="29"/>
      <c r="G29" s="15" t="s">
        <v>424</v>
      </c>
      <c r="H29" s="8"/>
      <c r="I29" s="8"/>
      <c r="J29" s="8"/>
      <c r="K29" s="8"/>
      <c r="L29" s="8" t="s">
        <v>125</v>
      </c>
      <c r="M29" s="29">
        <v>60000</v>
      </c>
      <c r="N29" s="29">
        <f t="shared" si="1"/>
        <v>0</v>
      </c>
      <c r="O29" s="76"/>
      <c r="P29" s="19"/>
      <c r="Q29" s="65"/>
      <c r="R29" s="65"/>
      <c r="S29" s="65"/>
      <c r="T29" s="65"/>
      <c r="U29" s="65"/>
    </row>
    <row r="30" spans="1:21" s="35" customFormat="1" ht="37.5">
      <c r="A30" s="74">
        <v>22</v>
      </c>
      <c r="B30" s="16" t="s">
        <v>533</v>
      </c>
      <c r="C30" s="8" t="s">
        <v>110</v>
      </c>
      <c r="D30" s="8"/>
      <c r="E30" s="17">
        <v>30000</v>
      </c>
      <c r="F30" s="29"/>
      <c r="G30" s="15" t="s">
        <v>424</v>
      </c>
      <c r="H30" s="8"/>
      <c r="I30" s="8"/>
      <c r="J30" s="8"/>
      <c r="K30" s="8"/>
      <c r="L30" s="8" t="s">
        <v>125</v>
      </c>
      <c r="M30" s="29">
        <v>30000</v>
      </c>
      <c r="N30" s="29">
        <f t="shared" si="1"/>
        <v>0</v>
      </c>
      <c r="O30" s="76"/>
      <c r="P30" s="19"/>
      <c r="Q30" s="65"/>
      <c r="R30" s="65"/>
      <c r="S30" s="65"/>
      <c r="T30" s="65"/>
      <c r="U30" s="65"/>
    </row>
    <row r="31" spans="1:21" s="35" customFormat="1" ht="56.25">
      <c r="A31" s="74">
        <v>23</v>
      </c>
      <c r="B31" s="16" t="s">
        <v>540</v>
      </c>
      <c r="C31" s="8" t="s">
        <v>110</v>
      </c>
      <c r="D31" s="8"/>
      <c r="E31" s="17">
        <v>150000</v>
      </c>
      <c r="F31" s="29">
        <f>150000-75000+30489.9</f>
        <v>105489.9</v>
      </c>
      <c r="G31" s="15" t="s">
        <v>424</v>
      </c>
      <c r="H31" s="8"/>
      <c r="I31" s="8"/>
      <c r="J31" s="8"/>
      <c r="K31" s="8"/>
      <c r="L31" s="8"/>
      <c r="M31" s="29">
        <f>+รายการ!I25</f>
        <v>0</v>
      </c>
      <c r="N31" s="29">
        <f t="shared" ref="N31:N39" si="2">F31-M31</f>
        <v>105489.9</v>
      </c>
      <c r="O31" s="76"/>
      <c r="P31" s="19"/>
      <c r="Q31" s="65"/>
      <c r="R31" s="65"/>
      <c r="S31" s="65"/>
      <c r="T31" s="65"/>
      <c r="U31" s="65"/>
    </row>
    <row r="32" spans="1:21" s="35" customFormat="1" ht="37.5">
      <c r="A32" s="74">
        <v>24</v>
      </c>
      <c r="B32" s="16" t="s">
        <v>541</v>
      </c>
      <c r="C32" s="8" t="s">
        <v>110</v>
      </c>
      <c r="D32" s="8"/>
      <c r="E32" s="17">
        <v>20000</v>
      </c>
      <c r="F32" s="29">
        <f>20000+14000+26000+14600+13340</f>
        <v>87940</v>
      </c>
      <c r="G32" s="15" t="s">
        <v>424</v>
      </c>
      <c r="H32" s="8"/>
      <c r="I32" s="8"/>
      <c r="J32" s="8"/>
      <c r="K32" s="8"/>
      <c r="L32" s="8"/>
      <c r="M32" s="29">
        <f>+รายการ!I26</f>
        <v>0</v>
      </c>
      <c r="N32" s="29">
        <f t="shared" si="2"/>
        <v>87940</v>
      </c>
      <c r="O32" s="76"/>
      <c r="P32" s="19"/>
      <c r="Q32" s="65"/>
      <c r="R32" s="65"/>
      <c r="S32" s="65"/>
      <c r="T32" s="65"/>
      <c r="U32" s="65"/>
    </row>
    <row r="33" spans="1:21" s="35" customFormat="1" ht="37.5">
      <c r="A33" s="74">
        <v>25</v>
      </c>
      <c r="B33" s="16" t="s">
        <v>542</v>
      </c>
      <c r="C33" s="8" t="s">
        <v>110</v>
      </c>
      <c r="D33" s="8"/>
      <c r="E33" s="17">
        <v>30000</v>
      </c>
      <c r="F33" s="29">
        <f>30000-22040</f>
        <v>7960</v>
      </c>
      <c r="G33" s="15" t="s">
        <v>424</v>
      </c>
      <c r="H33" s="8"/>
      <c r="I33" s="8"/>
      <c r="J33" s="8"/>
      <c r="K33" s="8"/>
      <c r="L33" s="8" t="s">
        <v>125</v>
      </c>
      <c r="M33" s="29">
        <f>+รายการ!I27</f>
        <v>7960</v>
      </c>
      <c r="N33" s="29">
        <f t="shared" si="2"/>
        <v>0</v>
      </c>
      <c r="O33" s="76"/>
      <c r="P33" s="19"/>
      <c r="Q33" s="65"/>
      <c r="R33" s="65"/>
      <c r="S33" s="65"/>
      <c r="T33" s="65"/>
      <c r="U33" s="65"/>
    </row>
    <row r="34" spans="1:21" s="35" customFormat="1">
      <c r="A34" s="74">
        <v>26</v>
      </c>
      <c r="B34" s="16" t="s">
        <v>228</v>
      </c>
      <c r="C34" s="8" t="s">
        <v>110</v>
      </c>
      <c r="D34" s="8"/>
      <c r="E34" s="17">
        <v>200000</v>
      </c>
      <c r="F34" s="29">
        <f>200000-60000-90000</f>
        <v>50000</v>
      </c>
      <c r="G34" s="15" t="s">
        <v>424</v>
      </c>
      <c r="H34" s="8"/>
      <c r="I34" s="8"/>
      <c r="J34" s="8"/>
      <c r="K34" s="8"/>
      <c r="L34" s="8" t="s">
        <v>125</v>
      </c>
      <c r="M34" s="29">
        <f>+รายการ!I28</f>
        <v>7760</v>
      </c>
      <c r="N34" s="29">
        <f t="shared" si="2"/>
        <v>42240</v>
      </c>
      <c r="O34" s="76"/>
      <c r="P34" s="19"/>
      <c r="Q34" s="65"/>
      <c r="R34" s="65"/>
      <c r="S34" s="65"/>
      <c r="T34" s="65"/>
      <c r="U34" s="65"/>
    </row>
    <row r="35" spans="1:21" s="35" customFormat="1">
      <c r="A35" s="74">
        <v>27</v>
      </c>
      <c r="B35" s="16" t="s">
        <v>457</v>
      </c>
      <c r="C35" s="8" t="s">
        <v>110</v>
      </c>
      <c r="D35" s="8"/>
      <c r="E35" s="17">
        <v>59000</v>
      </c>
      <c r="F35" s="29"/>
      <c r="G35" s="15" t="s">
        <v>424</v>
      </c>
      <c r="H35" s="8"/>
      <c r="I35" s="8"/>
      <c r="J35" s="8"/>
      <c r="K35" s="8"/>
      <c r="L35" s="8"/>
      <c r="M35" s="29">
        <f>+รายการ!I29+รายการ!I29</f>
        <v>0</v>
      </c>
      <c r="N35" s="29">
        <f>E35-M35</f>
        <v>59000</v>
      </c>
      <c r="O35" s="76"/>
      <c r="P35" s="19"/>
      <c r="Q35" s="65"/>
      <c r="R35" s="65"/>
      <c r="S35" s="65"/>
      <c r="T35" s="65"/>
      <c r="U35" s="65"/>
    </row>
    <row r="36" spans="1:21" s="35" customFormat="1" ht="37.5">
      <c r="A36" s="74">
        <v>28</v>
      </c>
      <c r="B36" s="16" t="s">
        <v>545</v>
      </c>
      <c r="C36" s="8" t="s">
        <v>110</v>
      </c>
      <c r="D36" s="8"/>
      <c r="E36" s="17">
        <v>50000</v>
      </c>
      <c r="F36" s="29">
        <f>50000-30000</f>
        <v>20000</v>
      </c>
      <c r="G36" s="15" t="s">
        <v>424</v>
      </c>
      <c r="H36" s="8"/>
      <c r="I36" s="8"/>
      <c r="J36" s="8"/>
      <c r="K36" s="8"/>
      <c r="L36" s="8"/>
      <c r="M36" s="29">
        <f>+รายการ!I30</f>
        <v>0</v>
      </c>
      <c r="N36" s="29">
        <f t="shared" si="2"/>
        <v>20000</v>
      </c>
      <c r="O36" s="76"/>
      <c r="P36" s="19"/>
      <c r="Q36" s="65"/>
      <c r="R36" s="65"/>
      <c r="S36" s="65"/>
      <c r="T36" s="65"/>
      <c r="U36" s="65"/>
    </row>
    <row r="37" spans="1:21" s="35" customFormat="1" ht="37.5">
      <c r="A37" s="74">
        <v>29</v>
      </c>
      <c r="B37" s="16" t="s">
        <v>546</v>
      </c>
      <c r="C37" s="8" t="s">
        <v>110</v>
      </c>
      <c r="D37" s="8"/>
      <c r="E37" s="17">
        <v>500000</v>
      </c>
      <c r="F37" s="29">
        <f>500000-800</f>
        <v>499200</v>
      </c>
      <c r="G37" s="15" t="s">
        <v>424</v>
      </c>
      <c r="H37" s="8"/>
      <c r="I37" s="8"/>
      <c r="J37" s="8"/>
      <c r="K37" s="8"/>
      <c r="L37" s="8" t="s">
        <v>125</v>
      </c>
      <c r="M37" s="29">
        <f>+รายการ!I31</f>
        <v>499200</v>
      </c>
      <c r="N37" s="29">
        <f t="shared" si="2"/>
        <v>0</v>
      </c>
      <c r="O37" s="76"/>
      <c r="P37" s="19"/>
      <c r="Q37" s="65"/>
      <c r="R37" s="65"/>
      <c r="S37" s="65"/>
      <c r="T37" s="65"/>
      <c r="U37" s="65"/>
    </row>
    <row r="38" spans="1:21" s="35" customFormat="1" ht="37.5">
      <c r="A38" s="74">
        <v>30</v>
      </c>
      <c r="B38" s="16" t="s">
        <v>547</v>
      </c>
      <c r="C38" s="8" t="s">
        <v>110</v>
      </c>
      <c r="D38" s="8"/>
      <c r="E38" s="17">
        <v>600000</v>
      </c>
      <c r="F38" s="29">
        <f>600000+100000+30700-80000</f>
        <v>650700</v>
      </c>
      <c r="G38" s="15" t="s">
        <v>424</v>
      </c>
      <c r="H38" s="8"/>
      <c r="I38" s="8"/>
      <c r="J38" s="8"/>
      <c r="K38" s="8"/>
      <c r="L38" s="8" t="s">
        <v>125</v>
      </c>
      <c r="M38" s="29">
        <f>+รายการ!I32</f>
        <v>357000</v>
      </c>
      <c r="N38" s="29">
        <f t="shared" si="2"/>
        <v>293700</v>
      </c>
      <c r="O38" s="76"/>
      <c r="P38" s="19"/>
      <c r="Q38" s="65"/>
      <c r="R38" s="65"/>
      <c r="S38" s="65"/>
      <c r="T38" s="65"/>
      <c r="U38" s="65"/>
    </row>
    <row r="39" spans="1:21" s="35" customFormat="1">
      <c r="A39" s="74">
        <v>31</v>
      </c>
      <c r="B39" s="16" t="s">
        <v>169</v>
      </c>
      <c r="C39" s="8" t="s">
        <v>110</v>
      </c>
      <c r="D39" s="8"/>
      <c r="E39" s="17">
        <v>394590</v>
      </c>
      <c r="F39" s="29">
        <f>394590+200000+40000+500000+176360+323640+15000+7000+70000+42000+500000+100000+10000+9000+6600+10+4200+22040+800+60000+42000+28000+200000+40000+1400+2100+150000+10000+50+3900+15000+500+2800+3400+6500+16500+1900+54000+350+500+900+75000+90000+50000+30000+274000+32000+53000-833900+23500+10000+90000+70000+20000+30000+150000+6500+38000+50000+8000+5100+5400+11000+5000+42500+23000</f>
        <v>3419140</v>
      </c>
      <c r="G39" s="8" t="s">
        <v>424</v>
      </c>
      <c r="H39" s="8"/>
      <c r="I39" s="8"/>
      <c r="J39" s="8"/>
      <c r="K39" s="8"/>
      <c r="L39" s="8" t="s">
        <v>125</v>
      </c>
      <c r="M39" s="282">
        <f>+รายการ!I33</f>
        <v>2766343</v>
      </c>
      <c r="N39" s="29">
        <f t="shared" si="2"/>
        <v>652797</v>
      </c>
      <c r="O39" s="76"/>
      <c r="P39" s="19"/>
      <c r="Q39" s="65"/>
      <c r="R39" s="65"/>
      <c r="S39" s="65"/>
      <c r="T39" s="65"/>
      <c r="U39" s="65"/>
    </row>
    <row r="40" spans="1:21" s="35" customFormat="1">
      <c r="A40" s="74"/>
      <c r="B40" s="75" t="s">
        <v>350</v>
      </c>
      <c r="C40" s="8"/>
      <c r="D40" s="8"/>
      <c r="E40" s="29"/>
      <c r="F40" s="29"/>
      <c r="G40" s="8"/>
      <c r="H40" s="8"/>
      <c r="I40" s="8"/>
      <c r="J40" s="8"/>
      <c r="K40" s="8"/>
      <c r="L40" s="8"/>
      <c r="M40" s="29"/>
      <c r="N40" s="29"/>
      <c r="O40" s="76"/>
      <c r="P40" s="19"/>
      <c r="Q40" s="65"/>
      <c r="R40" s="65"/>
      <c r="S40" s="65"/>
      <c r="T40" s="65"/>
      <c r="U40" s="65"/>
    </row>
    <row r="41" spans="1:21" s="35" customFormat="1">
      <c r="A41" s="74">
        <v>32</v>
      </c>
      <c r="B41" s="16" t="s">
        <v>227</v>
      </c>
      <c r="C41" s="8" t="s">
        <v>350</v>
      </c>
      <c r="D41" s="8"/>
      <c r="E41" s="18">
        <v>10000</v>
      </c>
      <c r="F41" s="29"/>
      <c r="G41" s="8" t="s">
        <v>424</v>
      </c>
      <c r="H41" s="8"/>
      <c r="I41" s="8"/>
      <c r="J41" s="8"/>
      <c r="K41" s="8"/>
      <c r="L41" s="8" t="s">
        <v>125</v>
      </c>
      <c r="M41" s="29">
        <f>+รายการ!I35</f>
        <v>1405</v>
      </c>
      <c r="N41" s="29">
        <f>E41-M41</f>
        <v>8595</v>
      </c>
      <c r="O41" s="76"/>
      <c r="P41" s="19"/>
      <c r="Q41" s="65"/>
      <c r="R41" s="65"/>
      <c r="S41" s="65"/>
      <c r="T41" s="65"/>
      <c r="U41" s="65"/>
    </row>
    <row r="42" spans="1:21" s="35" customFormat="1" ht="37.5">
      <c r="A42" s="74">
        <v>33</v>
      </c>
      <c r="B42" s="16" t="s">
        <v>525</v>
      </c>
      <c r="C42" s="8" t="s">
        <v>350</v>
      </c>
      <c r="D42" s="8"/>
      <c r="E42" s="17">
        <v>100000</v>
      </c>
      <c r="F42" s="29">
        <f>100000-28000</f>
        <v>72000</v>
      </c>
      <c r="G42" s="8" t="s">
        <v>424</v>
      </c>
      <c r="H42" s="8"/>
      <c r="I42" s="8"/>
      <c r="J42" s="8"/>
      <c r="K42" s="8"/>
      <c r="L42" s="8" t="s">
        <v>125</v>
      </c>
      <c r="M42" s="29">
        <f>+รายการ!I36</f>
        <v>54000</v>
      </c>
      <c r="N42" s="29">
        <f t="shared" ref="N42:N49" si="3">F42-M42</f>
        <v>18000</v>
      </c>
      <c r="O42" s="76"/>
      <c r="P42" s="19"/>
      <c r="Q42" s="65"/>
      <c r="R42" s="65"/>
      <c r="S42" s="65"/>
      <c r="T42" s="65"/>
      <c r="U42" s="65"/>
    </row>
    <row r="43" spans="1:21" s="35" customFormat="1" ht="37.5">
      <c r="A43" s="74">
        <v>34</v>
      </c>
      <c r="B43" s="16" t="s">
        <v>526</v>
      </c>
      <c r="C43" s="8" t="s">
        <v>350</v>
      </c>
      <c r="D43" s="8"/>
      <c r="E43" s="17">
        <v>263400</v>
      </c>
      <c r="F43" s="29">
        <f>263400-200000+2000</f>
        <v>65400</v>
      </c>
      <c r="G43" s="8" t="s">
        <v>424</v>
      </c>
      <c r="H43" s="8"/>
      <c r="I43" s="8"/>
      <c r="J43" s="8"/>
      <c r="K43" s="8"/>
      <c r="L43" s="8" t="s">
        <v>125</v>
      </c>
      <c r="M43" s="29">
        <f>+รายการ!I37</f>
        <v>28591.199999999997</v>
      </c>
      <c r="N43" s="29">
        <f t="shared" si="3"/>
        <v>36808.800000000003</v>
      </c>
      <c r="O43" s="76"/>
      <c r="P43" s="19"/>
      <c r="Q43" s="65"/>
      <c r="R43" s="65"/>
      <c r="S43" s="65"/>
      <c r="T43" s="65"/>
      <c r="U43" s="65"/>
    </row>
    <row r="44" spans="1:21" s="35" customFormat="1" ht="37.5">
      <c r="A44" s="74">
        <v>35</v>
      </c>
      <c r="B44" s="16" t="s">
        <v>435</v>
      </c>
      <c r="C44" s="8" t="s">
        <v>350</v>
      </c>
      <c r="D44" s="8"/>
      <c r="E44" s="17">
        <v>130000</v>
      </c>
      <c r="F44" s="29">
        <f>130000-30700-14600-17500-3972-42500</f>
        <v>20728</v>
      </c>
      <c r="G44" s="15" t="s">
        <v>424</v>
      </c>
      <c r="H44" s="8"/>
      <c r="I44" s="8"/>
      <c r="J44" s="8"/>
      <c r="K44" s="8"/>
      <c r="L44" s="8" t="s">
        <v>125</v>
      </c>
      <c r="M44" s="29">
        <f>+รายการ!I38</f>
        <v>11730</v>
      </c>
      <c r="N44" s="29">
        <f t="shared" si="3"/>
        <v>8998</v>
      </c>
      <c r="O44" s="76"/>
      <c r="P44" s="19"/>
      <c r="Q44" s="65"/>
      <c r="R44" s="65"/>
      <c r="S44" s="65"/>
      <c r="T44" s="65"/>
      <c r="U44" s="65"/>
    </row>
    <row r="45" spans="1:21" s="35" customFormat="1" ht="37.5">
      <c r="A45" s="74">
        <v>36</v>
      </c>
      <c r="B45" s="16" t="s">
        <v>101</v>
      </c>
      <c r="C45" s="8" t="s">
        <v>350</v>
      </c>
      <c r="D45" s="8"/>
      <c r="E45" s="17">
        <v>100000</v>
      </c>
      <c r="F45" s="29">
        <f>100000+69215+60000+20000+60110</f>
        <v>309325</v>
      </c>
      <c r="G45" s="8" t="s">
        <v>424</v>
      </c>
      <c r="H45" s="8"/>
      <c r="I45" s="8"/>
      <c r="J45" s="8"/>
      <c r="K45" s="8"/>
      <c r="L45" s="8" t="s">
        <v>125</v>
      </c>
      <c r="M45" s="29">
        <f>+รายการ!I39</f>
        <v>145180.9</v>
      </c>
      <c r="N45" s="29">
        <f t="shared" si="3"/>
        <v>164144.1</v>
      </c>
      <c r="O45" s="76"/>
      <c r="P45" s="19"/>
      <c r="Q45" s="65"/>
      <c r="R45" s="65"/>
      <c r="S45" s="65"/>
      <c r="T45" s="65"/>
      <c r="U45" s="65"/>
    </row>
    <row r="46" spans="1:21" s="35" customFormat="1">
      <c r="A46" s="74">
        <v>37</v>
      </c>
      <c r="B46" s="16" t="s">
        <v>98</v>
      </c>
      <c r="C46" s="8" t="s">
        <v>350</v>
      </c>
      <c r="D46" s="8"/>
      <c r="E46" s="17">
        <v>247000</v>
      </c>
      <c r="F46" s="29">
        <f>247000-53000-23500</f>
        <v>170500</v>
      </c>
      <c r="G46" s="8" t="s">
        <v>424</v>
      </c>
      <c r="H46" s="8"/>
      <c r="I46" s="8"/>
      <c r="J46" s="8"/>
      <c r="K46" s="8"/>
      <c r="L46" s="8" t="s">
        <v>125</v>
      </c>
      <c r="M46" s="29">
        <f>+รายการ!I40</f>
        <v>77215.11</v>
      </c>
      <c r="N46" s="29">
        <f t="shared" si="3"/>
        <v>93284.89</v>
      </c>
      <c r="O46" s="76"/>
      <c r="P46" s="19"/>
      <c r="Q46" s="65"/>
      <c r="R46" s="65"/>
      <c r="S46" s="65"/>
      <c r="T46" s="65"/>
      <c r="U46" s="65"/>
    </row>
    <row r="47" spans="1:21" s="35" customFormat="1">
      <c r="A47" s="74">
        <v>38</v>
      </c>
      <c r="B47" s="16" t="s">
        <v>99</v>
      </c>
      <c r="C47" s="8" t="s">
        <v>350</v>
      </c>
      <c r="D47" s="8"/>
      <c r="E47" s="17">
        <v>50000</v>
      </c>
      <c r="F47" s="29">
        <f>50000-40000</f>
        <v>10000</v>
      </c>
      <c r="G47" s="8" t="s">
        <v>424</v>
      </c>
      <c r="H47" s="8"/>
      <c r="I47" s="8"/>
      <c r="J47" s="8"/>
      <c r="K47" s="8"/>
      <c r="L47" s="8" t="s">
        <v>125</v>
      </c>
      <c r="M47" s="29">
        <f>+รายการ!I41</f>
        <v>2580</v>
      </c>
      <c r="N47" s="29">
        <f t="shared" si="3"/>
        <v>7420</v>
      </c>
      <c r="O47" s="76"/>
      <c r="P47" s="19"/>
      <c r="Q47" s="65"/>
      <c r="R47" s="65"/>
      <c r="S47" s="65"/>
      <c r="T47" s="65"/>
      <c r="U47" s="65"/>
    </row>
    <row r="48" spans="1:21" s="35" customFormat="1" ht="56.25">
      <c r="A48" s="74">
        <v>39</v>
      </c>
      <c r="B48" s="16" t="s">
        <v>430</v>
      </c>
      <c r="C48" s="8" t="s">
        <v>350</v>
      </c>
      <c r="D48" s="8"/>
      <c r="E48" s="17">
        <v>16000</v>
      </c>
      <c r="F48" s="29">
        <f>16000-400</f>
        <v>15600</v>
      </c>
      <c r="G48" s="8" t="s">
        <v>424</v>
      </c>
      <c r="H48" s="8"/>
      <c r="I48" s="8"/>
      <c r="J48" s="8"/>
      <c r="K48" s="8"/>
      <c r="L48" s="8" t="s">
        <v>125</v>
      </c>
      <c r="M48" s="29">
        <v>15600</v>
      </c>
      <c r="N48" s="29">
        <f t="shared" si="3"/>
        <v>0</v>
      </c>
      <c r="O48" s="76"/>
      <c r="P48" s="19"/>
      <c r="Q48" s="65"/>
      <c r="R48" s="65"/>
      <c r="S48" s="65"/>
      <c r="T48" s="65"/>
      <c r="U48" s="65"/>
    </row>
    <row r="49" spans="1:21" s="35" customFormat="1" ht="37.5">
      <c r="A49" s="74">
        <v>40</v>
      </c>
      <c r="B49" s="16" t="s">
        <v>524</v>
      </c>
      <c r="C49" s="8" t="s">
        <v>350</v>
      </c>
      <c r="D49" s="8"/>
      <c r="E49" s="17">
        <v>3200</v>
      </c>
      <c r="F49" s="29">
        <f>3200-1000</f>
        <v>2200</v>
      </c>
      <c r="G49" s="15" t="s">
        <v>424</v>
      </c>
      <c r="H49" s="8"/>
      <c r="I49" s="8"/>
      <c r="J49" s="8"/>
      <c r="K49" s="8"/>
      <c r="L49" s="8" t="s">
        <v>125</v>
      </c>
      <c r="M49" s="29">
        <v>2200</v>
      </c>
      <c r="N49" s="29">
        <f t="shared" si="3"/>
        <v>0</v>
      </c>
      <c r="O49" s="76"/>
      <c r="P49" s="19"/>
      <c r="Q49" s="65"/>
      <c r="R49" s="65"/>
      <c r="S49" s="65"/>
      <c r="T49" s="65"/>
      <c r="U49" s="65"/>
    </row>
    <row r="50" spans="1:21" s="35" customFormat="1" ht="37.5">
      <c r="A50" s="74">
        <v>41</v>
      </c>
      <c r="B50" s="16" t="s">
        <v>527</v>
      </c>
      <c r="C50" s="8" t="s">
        <v>350</v>
      </c>
      <c r="D50" s="8"/>
      <c r="E50" s="17">
        <v>4300</v>
      </c>
      <c r="F50" s="29"/>
      <c r="G50" s="15" t="s">
        <v>424</v>
      </c>
      <c r="H50" s="8"/>
      <c r="I50" s="8"/>
      <c r="J50" s="8"/>
      <c r="K50" s="8"/>
      <c r="L50" s="8" t="s">
        <v>125</v>
      </c>
      <c r="M50" s="29">
        <v>4300</v>
      </c>
      <c r="N50" s="29">
        <f>E50-M50</f>
        <v>0</v>
      </c>
      <c r="O50" s="76"/>
      <c r="P50" s="19"/>
      <c r="Q50" s="65"/>
      <c r="R50" s="65"/>
      <c r="S50" s="65"/>
      <c r="T50" s="65"/>
      <c r="U50" s="65"/>
    </row>
    <row r="51" spans="1:21" s="35" customFormat="1">
      <c r="A51" s="74">
        <v>42</v>
      </c>
      <c r="B51" s="16" t="s">
        <v>528</v>
      </c>
      <c r="C51" s="8" t="s">
        <v>350</v>
      </c>
      <c r="D51" s="8"/>
      <c r="E51" s="17">
        <v>50000</v>
      </c>
      <c r="F51" s="29">
        <f>50000-2100</f>
        <v>47900</v>
      </c>
      <c r="G51" s="15" t="s">
        <v>424</v>
      </c>
      <c r="H51" s="8"/>
      <c r="I51" s="8"/>
      <c r="J51" s="8"/>
      <c r="K51" s="8"/>
      <c r="L51" s="8" t="s">
        <v>125</v>
      </c>
      <c r="M51" s="29">
        <v>47900</v>
      </c>
      <c r="N51" s="29">
        <f>F51-M51</f>
        <v>0</v>
      </c>
      <c r="O51" s="76"/>
      <c r="P51" s="19"/>
      <c r="Q51" s="65"/>
      <c r="R51" s="65"/>
      <c r="S51" s="65"/>
      <c r="T51" s="65"/>
      <c r="U51" s="65"/>
    </row>
    <row r="52" spans="1:21" s="35" customFormat="1">
      <c r="A52" s="74"/>
      <c r="B52" s="75" t="s">
        <v>565</v>
      </c>
      <c r="C52" s="8"/>
      <c r="D52" s="8"/>
      <c r="E52" s="29"/>
      <c r="F52" s="29"/>
      <c r="G52" s="8"/>
      <c r="H52" s="8"/>
      <c r="I52" s="8"/>
      <c r="J52" s="8"/>
      <c r="K52" s="8"/>
      <c r="L52" s="8"/>
      <c r="M52" s="29"/>
      <c r="N52" s="29"/>
      <c r="O52" s="76"/>
      <c r="P52" s="19"/>
      <c r="Q52" s="65"/>
      <c r="R52" s="65"/>
      <c r="S52" s="65"/>
      <c r="T52" s="65"/>
      <c r="U52" s="65"/>
    </row>
    <row r="53" spans="1:21" s="35" customFormat="1" ht="56.25">
      <c r="A53" s="74">
        <v>43</v>
      </c>
      <c r="B53" s="16" t="s">
        <v>389</v>
      </c>
      <c r="C53" s="8" t="s">
        <v>565</v>
      </c>
      <c r="D53" s="8"/>
      <c r="E53" s="17">
        <v>90000</v>
      </c>
      <c r="F53" s="29">
        <f>90000-50</f>
        <v>89950</v>
      </c>
      <c r="G53" s="15" t="s">
        <v>424</v>
      </c>
      <c r="H53" s="8"/>
      <c r="I53" s="8"/>
      <c r="J53" s="8"/>
      <c r="K53" s="8"/>
      <c r="L53" s="8" t="s">
        <v>125</v>
      </c>
      <c r="M53" s="29">
        <f>+รายการ!I48</f>
        <v>89950</v>
      </c>
      <c r="N53" s="29">
        <f>F53-M53</f>
        <v>0</v>
      </c>
      <c r="O53" s="76"/>
      <c r="P53" s="19"/>
      <c r="Q53" s="65"/>
      <c r="R53" s="65"/>
      <c r="S53" s="65"/>
      <c r="T53" s="65"/>
      <c r="U53" s="65"/>
    </row>
    <row r="54" spans="1:21" s="35" customFormat="1" ht="37.5">
      <c r="A54" s="74">
        <v>44</v>
      </c>
      <c r="B54" s="16" t="s">
        <v>367</v>
      </c>
      <c r="C54" s="8" t="s">
        <v>565</v>
      </c>
      <c r="D54" s="8"/>
      <c r="E54" s="17">
        <v>108000</v>
      </c>
      <c r="F54" s="29"/>
      <c r="G54" s="15" t="s">
        <v>424</v>
      </c>
      <c r="H54" s="8"/>
      <c r="I54" s="8"/>
      <c r="J54" s="8"/>
      <c r="K54" s="8"/>
      <c r="L54" s="8" t="s">
        <v>125</v>
      </c>
      <c r="M54" s="29">
        <f>+รายการ!I49</f>
        <v>52260</v>
      </c>
      <c r="N54" s="29">
        <f>E54-M54</f>
        <v>55740</v>
      </c>
      <c r="O54" s="76"/>
      <c r="P54" s="19"/>
      <c r="Q54" s="65"/>
      <c r="R54" s="65"/>
      <c r="S54" s="65"/>
      <c r="T54" s="65"/>
      <c r="U54" s="65"/>
    </row>
    <row r="55" spans="1:21" s="35" customFormat="1" ht="47.25">
      <c r="A55" s="74">
        <v>45</v>
      </c>
      <c r="B55" s="16" t="s">
        <v>151</v>
      </c>
      <c r="C55" s="8" t="s">
        <v>565</v>
      </c>
      <c r="D55" s="8"/>
      <c r="E55" s="17">
        <v>10000</v>
      </c>
      <c r="F55" s="29">
        <f>10000-10000</f>
        <v>0</v>
      </c>
      <c r="G55" s="8" t="s">
        <v>424</v>
      </c>
      <c r="H55" s="8"/>
      <c r="I55" s="8"/>
      <c r="J55" s="8"/>
      <c r="K55" s="8"/>
      <c r="L55" s="8"/>
      <c r="M55" s="29">
        <f>+รายการ!I50</f>
        <v>0</v>
      </c>
      <c r="N55" s="29">
        <f>F55-M55</f>
        <v>0</v>
      </c>
      <c r="O55" s="76"/>
      <c r="P55" s="14" t="s">
        <v>398</v>
      </c>
      <c r="Q55" s="65"/>
      <c r="R55" s="65"/>
      <c r="S55" s="65"/>
      <c r="T55" s="65"/>
      <c r="U55" s="65"/>
    </row>
    <row r="56" spans="1:21" s="35" customFormat="1" ht="56.25">
      <c r="A56" s="74">
        <v>46</v>
      </c>
      <c r="B56" s="16" t="s">
        <v>430</v>
      </c>
      <c r="C56" s="8" t="s">
        <v>565</v>
      </c>
      <c r="D56" s="8"/>
      <c r="E56" s="17">
        <v>32000</v>
      </c>
      <c r="F56" s="29">
        <f>32000-800</f>
        <v>31200</v>
      </c>
      <c r="G56" s="8" t="s">
        <v>424</v>
      </c>
      <c r="H56" s="8"/>
      <c r="I56" s="8"/>
      <c r="J56" s="8"/>
      <c r="K56" s="8"/>
      <c r="L56" s="8" t="s">
        <v>125</v>
      </c>
      <c r="M56" s="29">
        <v>31200</v>
      </c>
      <c r="N56" s="29">
        <f>F56-M56</f>
        <v>0</v>
      </c>
      <c r="O56" s="76"/>
      <c r="P56" s="19"/>
      <c r="Q56" s="65"/>
      <c r="R56" s="65"/>
      <c r="S56" s="65"/>
      <c r="T56" s="65"/>
      <c r="U56" s="65"/>
    </row>
    <row r="57" spans="1:21" s="35" customFormat="1" ht="37.5">
      <c r="A57" s="74">
        <v>47</v>
      </c>
      <c r="B57" s="16" t="s">
        <v>524</v>
      </c>
      <c r="C57" s="8" t="s">
        <v>565</v>
      </c>
      <c r="D57" s="8"/>
      <c r="E57" s="17">
        <v>9600</v>
      </c>
      <c r="F57" s="29">
        <f>9600-3000</f>
        <v>6600</v>
      </c>
      <c r="G57" s="15" t="s">
        <v>424</v>
      </c>
      <c r="H57" s="8"/>
      <c r="I57" s="8"/>
      <c r="J57" s="8"/>
      <c r="K57" s="8"/>
      <c r="L57" s="8" t="s">
        <v>125</v>
      </c>
      <c r="M57" s="29">
        <v>6600</v>
      </c>
      <c r="N57" s="29">
        <f>F57-M57</f>
        <v>0</v>
      </c>
      <c r="O57" s="76"/>
      <c r="P57" s="19"/>
      <c r="Q57" s="65"/>
      <c r="R57" s="65"/>
      <c r="S57" s="65"/>
      <c r="T57" s="65"/>
      <c r="U57" s="65"/>
    </row>
    <row r="58" spans="1:21" s="35" customFormat="1" ht="37.5">
      <c r="A58" s="74">
        <v>48</v>
      </c>
      <c r="B58" s="16" t="s">
        <v>527</v>
      </c>
      <c r="C58" s="8" t="s">
        <v>565</v>
      </c>
      <c r="D58" s="8"/>
      <c r="E58" s="17">
        <v>8600</v>
      </c>
      <c r="F58" s="29"/>
      <c r="G58" s="8" t="s">
        <v>424</v>
      </c>
      <c r="H58" s="8"/>
      <c r="I58" s="8"/>
      <c r="J58" s="8"/>
      <c r="K58" s="8"/>
      <c r="L58" s="8" t="s">
        <v>125</v>
      </c>
      <c r="M58" s="29">
        <v>8600</v>
      </c>
      <c r="N58" s="29">
        <f>E58-M58</f>
        <v>0</v>
      </c>
      <c r="O58" s="76"/>
      <c r="P58" s="19"/>
      <c r="Q58" s="65"/>
      <c r="R58" s="65"/>
      <c r="S58" s="65"/>
      <c r="T58" s="65"/>
      <c r="U58" s="65"/>
    </row>
    <row r="59" spans="1:21" s="35" customFormat="1" ht="37.5">
      <c r="A59" s="74">
        <v>49</v>
      </c>
      <c r="B59" s="16" t="s">
        <v>534</v>
      </c>
      <c r="C59" s="8" t="s">
        <v>417</v>
      </c>
      <c r="D59" s="8"/>
      <c r="E59" s="17">
        <v>16000</v>
      </c>
      <c r="F59" s="29">
        <f>16000-100</f>
        <v>15900</v>
      </c>
      <c r="G59" s="15" t="s">
        <v>424</v>
      </c>
      <c r="H59" s="8"/>
      <c r="I59" s="8"/>
      <c r="J59" s="8"/>
      <c r="K59" s="8"/>
      <c r="L59" s="8" t="s">
        <v>125</v>
      </c>
      <c r="M59" s="29">
        <v>15900</v>
      </c>
      <c r="N59" s="29">
        <f>F59-M59</f>
        <v>0</v>
      </c>
      <c r="O59" s="76"/>
      <c r="P59" s="19"/>
      <c r="Q59" s="65"/>
      <c r="R59" s="65"/>
      <c r="S59" s="65"/>
      <c r="T59" s="65"/>
      <c r="U59" s="65"/>
    </row>
    <row r="60" spans="1:21" s="35" customFormat="1" ht="37.5">
      <c r="A60" s="74">
        <v>50</v>
      </c>
      <c r="B60" s="16" t="s">
        <v>566</v>
      </c>
      <c r="C60" s="8" t="s">
        <v>417</v>
      </c>
      <c r="D60" s="8"/>
      <c r="E60" s="17">
        <v>210000</v>
      </c>
      <c r="F60" s="29">
        <f>210000-38000-101639.84</f>
        <v>70360.160000000003</v>
      </c>
      <c r="G60" s="15" t="s">
        <v>424</v>
      </c>
      <c r="H60" s="8"/>
      <c r="I60" s="8"/>
      <c r="J60" s="8"/>
      <c r="K60" s="8"/>
      <c r="L60" s="8" t="s">
        <v>125</v>
      </c>
      <c r="M60" s="29">
        <f>+รายการ!I55</f>
        <v>93667.74</v>
      </c>
      <c r="N60" s="29">
        <f>F60-M60</f>
        <v>-23307.58</v>
      </c>
      <c r="O60" s="76"/>
      <c r="P60" s="19"/>
      <c r="Q60" s="65"/>
      <c r="R60" s="65"/>
      <c r="S60" s="65"/>
      <c r="T60" s="65"/>
      <c r="U60" s="65"/>
    </row>
    <row r="61" spans="1:21" s="35" customFormat="1">
      <c r="A61" s="74">
        <v>51</v>
      </c>
      <c r="B61" s="16" t="s">
        <v>97</v>
      </c>
      <c r="C61" s="8" t="s">
        <v>417</v>
      </c>
      <c r="D61" s="8"/>
      <c r="E61" s="17">
        <v>58000</v>
      </c>
      <c r="F61" s="29"/>
      <c r="G61" s="15" t="s">
        <v>424</v>
      </c>
      <c r="H61" s="8"/>
      <c r="I61" s="8"/>
      <c r="J61" s="8"/>
      <c r="K61" s="8"/>
      <c r="L61" s="8" t="s">
        <v>125</v>
      </c>
      <c r="M61" s="29">
        <f>+รายการ!I56</f>
        <v>24410</v>
      </c>
      <c r="N61" s="29">
        <f>E61-M61</f>
        <v>33590</v>
      </c>
      <c r="O61" s="76"/>
      <c r="P61" s="19"/>
      <c r="Q61" s="65"/>
      <c r="R61" s="65"/>
      <c r="S61" s="65"/>
      <c r="T61" s="65"/>
      <c r="U61" s="65"/>
    </row>
    <row r="62" spans="1:21" s="35" customFormat="1">
      <c r="A62" s="74">
        <v>52</v>
      </c>
      <c r="B62" s="16" t="s">
        <v>535</v>
      </c>
      <c r="C62" s="8" t="s">
        <v>417</v>
      </c>
      <c r="D62" s="8"/>
      <c r="E62" s="17">
        <v>177480</v>
      </c>
      <c r="F62" s="29">
        <f>177480-94000</f>
        <v>83480</v>
      </c>
      <c r="G62" s="15" t="s">
        <v>424</v>
      </c>
      <c r="H62" s="8"/>
      <c r="I62" s="8"/>
      <c r="J62" s="8"/>
      <c r="K62" s="8"/>
      <c r="L62" s="8" t="s">
        <v>125</v>
      </c>
      <c r="M62" s="29">
        <f>+รายการ!I57</f>
        <v>67570.02</v>
      </c>
      <c r="N62" s="29">
        <f>F62-M62</f>
        <v>15909.979999999996</v>
      </c>
      <c r="O62" s="76"/>
      <c r="P62" s="19"/>
      <c r="Q62" s="65"/>
      <c r="R62" s="65"/>
      <c r="S62" s="65"/>
      <c r="T62" s="65"/>
      <c r="U62" s="65"/>
    </row>
    <row r="63" spans="1:21" s="35" customFormat="1" ht="37.5">
      <c r="A63" s="74">
        <v>53</v>
      </c>
      <c r="B63" s="16" t="s">
        <v>536</v>
      </c>
      <c r="C63" s="8" t="s">
        <v>417</v>
      </c>
      <c r="D63" s="8"/>
      <c r="E63" s="17">
        <v>423490</v>
      </c>
      <c r="F63" s="29"/>
      <c r="G63" s="15" t="s">
        <v>424</v>
      </c>
      <c r="H63" s="8"/>
      <c r="I63" s="8"/>
      <c r="J63" s="8"/>
      <c r="K63" s="8"/>
      <c r="L63" s="8" t="s">
        <v>125</v>
      </c>
      <c r="M63" s="29">
        <f>+รายการ!I58</f>
        <v>190590.46</v>
      </c>
      <c r="N63" s="29">
        <f>E63-M63</f>
        <v>232899.54</v>
      </c>
      <c r="O63" s="76"/>
      <c r="P63" s="19"/>
      <c r="Q63" s="65"/>
      <c r="R63" s="65"/>
      <c r="S63" s="65"/>
      <c r="T63" s="65"/>
      <c r="U63" s="65"/>
    </row>
    <row r="64" spans="1:21" s="35" customFormat="1" ht="37.5">
      <c r="A64" s="74">
        <v>54</v>
      </c>
      <c r="B64" s="16" t="s">
        <v>537</v>
      </c>
      <c r="C64" s="8" t="s">
        <v>417</v>
      </c>
      <c r="D64" s="8"/>
      <c r="E64" s="17">
        <v>18000</v>
      </c>
      <c r="F64" s="29">
        <f>18000-15000</f>
        <v>3000</v>
      </c>
      <c r="G64" s="15" t="s">
        <v>424</v>
      </c>
      <c r="H64" s="8"/>
      <c r="I64" s="8"/>
      <c r="J64" s="8"/>
      <c r="K64" s="8"/>
      <c r="L64" s="8" t="s">
        <v>125</v>
      </c>
      <c r="M64" s="29">
        <v>3000</v>
      </c>
      <c r="N64" s="29">
        <f>F64-M64</f>
        <v>0</v>
      </c>
      <c r="O64" s="76"/>
      <c r="P64" s="19"/>
      <c r="Q64" s="65"/>
      <c r="R64" s="65"/>
      <c r="S64" s="65"/>
      <c r="T64" s="65"/>
      <c r="U64" s="65"/>
    </row>
    <row r="65" spans="1:21" s="35" customFormat="1">
      <c r="A65" s="74">
        <v>55</v>
      </c>
      <c r="B65" s="16" t="s">
        <v>538</v>
      </c>
      <c r="C65" s="8" t="s">
        <v>417</v>
      </c>
      <c r="D65" s="8"/>
      <c r="E65" s="17">
        <v>96800</v>
      </c>
      <c r="F65" s="29">
        <f>96800-500</f>
        <v>96300</v>
      </c>
      <c r="G65" s="15" t="s">
        <v>424</v>
      </c>
      <c r="H65" s="8"/>
      <c r="I65" s="8"/>
      <c r="J65" s="8"/>
      <c r="K65" s="8"/>
      <c r="L65" s="8" t="s">
        <v>125</v>
      </c>
      <c r="M65" s="29">
        <v>96300</v>
      </c>
      <c r="N65" s="29">
        <f>F65-M65</f>
        <v>0</v>
      </c>
      <c r="O65" s="76"/>
      <c r="P65" s="19"/>
      <c r="Q65" s="65"/>
      <c r="R65" s="65"/>
      <c r="S65" s="65"/>
      <c r="T65" s="65"/>
      <c r="U65" s="65"/>
    </row>
    <row r="66" spans="1:21" s="35" customFormat="1" ht="37.5">
      <c r="A66" s="74">
        <v>56</v>
      </c>
      <c r="B66" s="16" t="s">
        <v>539</v>
      </c>
      <c r="C66" s="8" t="s">
        <v>417</v>
      </c>
      <c r="D66" s="8"/>
      <c r="E66" s="17">
        <v>150000</v>
      </c>
      <c r="F66" s="29"/>
      <c r="G66" s="15" t="s">
        <v>424</v>
      </c>
      <c r="H66" s="8"/>
      <c r="I66" s="8"/>
      <c r="J66" s="8"/>
      <c r="K66" s="8"/>
      <c r="L66" s="8"/>
      <c r="M66" s="29">
        <f>+รายการ!I61</f>
        <v>0</v>
      </c>
      <c r="N66" s="29">
        <f>E66-M66</f>
        <v>150000</v>
      </c>
      <c r="O66" s="76"/>
      <c r="P66" s="19"/>
      <c r="Q66" s="65"/>
      <c r="R66" s="65"/>
      <c r="S66" s="65"/>
      <c r="T66" s="65"/>
      <c r="U66" s="65"/>
    </row>
    <row r="67" spans="1:21" s="35" customFormat="1" ht="47.25">
      <c r="A67" s="74">
        <v>57</v>
      </c>
      <c r="B67" s="16" t="s">
        <v>458</v>
      </c>
      <c r="C67" s="8" t="s">
        <v>417</v>
      </c>
      <c r="D67" s="8"/>
      <c r="E67" s="17">
        <v>550000</v>
      </c>
      <c r="F67" s="29">
        <f>550000-500000-50000</f>
        <v>0</v>
      </c>
      <c r="G67" s="15" t="s">
        <v>424</v>
      </c>
      <c r="H67" s="8"/>
      <c r="I67" s="8"/>
      <c r="J67" s="8"/>
      <c r="K67" s="8"/>
      <c r="L67" s="8"/>
      <c r="M67" s="29">
        <f>+F67</f>
        <v>0</v>
      </c>
      <c r="N67" s="29">
        <f>F67-M67</f>
        <v>0</v>
      </c>
      <c r="O67" s="76"/>
      <c r="P67" s="14" t="s">
        <v>398</v>
      </c>
      <c r="Q67" s="65"/>
      <c r="R67" s="65"/>
      <c r="S67" s="65"/>
      <c r="T67" s="65"/>
      <c r="U67" s="65"/>
    </row>
    <row r="68" spans="1:21" s="35" customFormat="1" ht="37.5">
      <c r="A68" s="74">
        <v>58</v>
      </c>
      <c r="B68" s="16" t="s">
        <v>543</v>
      </c>
      <c r="C68" s="8" t="s">
        <v>417</v>
      </c>
      <c r="D68" s="8"/>
      <c r="E68" s="17">
        <v>5000</v>
      </c>
      <c r="F68" s="29"/>
      <c r="G68" s="15" t="s">
        <v>424</v>
      </c>
      <c r="H68" s="8"/>
      <c r="I68" s="8"/>
      <c r="J68" s="8"/>
      <c r="K68" s="8"/>
      <c r="L68" s="8"/>
      <c r="M68" s="29">
        <f>+รายการ!I63</f>
        <v>0</v>
      </c>
      <c r="N68" s="29">
        <f>E68-M68</f>
        <v>5000</v>
      </c>
      <c r="O68" s="76"/>
      <c r="P68" s="19"/>
      <c r="Q68" s="65"/>
      <c r="R68" s="65"/>
      <c r="S68" s="65"/>
      <c r="T68" s="65"/>
      <c r="U68" s="65"/>
    </row>
    <row r="69" spans="1:21" s="35" customFormat="1" ht="37.5">
      <c r="A69" s="74">
        <v>59</v>
      </c>
      <c r="B69" s="16" t="s">
        <v>544</v>
      </c>
      <c r="C69" s="8" t="s">
        <v>417</v>
      </c>
      <c r="D69" s="8"/>
      <c r="E69" s="17">
        <v>5000</v>
      </c>
      <c r="F69" s="29"/>
      <c r="G69" s="15" t="s">
        <v>424</v>
      </c>
      <c r="H69" s="8"/>
      <c r="I69" s="8"/>
      <c r="J69" s="8"/>
      <c r="K69" s="8"/>
      <c r="L69" s="8"/>
      <c r="M69" s="29">
        <f>+รายการ!I64</f>
        <v>0</v>
      </c>
      <c r="N69" s="29">
        <f>E69-M69</f>
        <v>5000</v>
      </c>
      <c r="O69" s="76"/>
      <c r="P69" s="19"/>
      <c r="Q69" s="65"/>
      <c r="R69" s="65"/>
      <c r="S69" s="65"/>
      <c r="T69" s="65"/>
      <c r="U69" s="65"/>
    </row>
    <row r="70" spans="1:21" s="35" customFormat="1" ht="37.5">
      <c r="A70" s="74">
        <v>60</v>
      </c>
      <c r="B70" s="16" t="s">
        <v>548</v>
      </c>
      <c r="C70" s="8" t="s">
        <v>417</v>
      </c>
      <c r="D70" s="8"/>
      <c r="E70" s="17">
        <v>188000</v>
      </c>
      <c r="F70" s="29">
        <f>188000-69215+3972</f>
        <v>122757</v>
      </c>
      <c r="G70" s="15" t="s">
        <v>424</v>
      </c>
      <c r="H70" s="8"/>
      <c r="I70" s="8"/>
      <c r="J70" s="8"/>
      <c r="K70" s="8"/>
      <c r="L70" s="8" t="s">
        <v>125</v>
      </c>
      <c r="M70" s="29">
        <f>+รายการ!I65</f>
        <v>118785</v>
      </c>
      <c r="N70" s="29">
        <f>F70-M70</f>
        <v>3972</v>
      </c>
      <c r="O70" s="76"/>
      <c r="P70" s="19"/>
      <c r="Q70" s="65"/>
      <c r="R70" s="65"/>
      <c r="S70" s="65"/>
      <c r="T70" s="65"/>
      <c r="U70" s="65"/>
    </row>
    <row r="71" spans="1:21" s="35" customFormat="1" ht="37.5">
      <c r="A71" s="74">
        <v>61</v>
      </c>
      <c r="B71" s="16" t="s">
        <v>465</v>
      </c>
      <c r="C71" s="8" t="s">
        <v>565</v>
      </c>
      <c r="D71" s="8"/>
      <c r="E71" s="17">
        <v>16000</v>
      </c>
      <c r="F71" s="29">
        <f>16000+570</f>
        <v>16570</v>
      </c>
      <c r="G71" s="8" t="s">
        <v>412</v>
      </c>
      <c r="H71" s="8"/>
      <c r="I71" s="8"/>
      <c r="J71" s="8"/>
      <c r="K71" s="8"/>
      <c r="L71" s="8"/>
      <c r="M71" s="29">
        <f>+รายการ!I66</f>
        <v>0</v>
      </c>
      <c r="N71" s="29">
        <f>F71-M71</f>
        <v>16570</v>
      </c>
      <c r="O71" s="76"/>
      <c r="P71" s="19"/>
      <c r="Q71" s="65"/>
      <c r="R71" s="65"/>
      <c r="S71" s="65"/>
      <c r="T71" s="65"/>
      <c r="U71" s="65"/>
    </row>
    <row r="72" spans="1:21" s="35" customFormat="1" ht="37.5">
      <c r="A72" s="74">
        <v>62</v>
      </c>
      <c r="B72" s="19" t="s">
        <v>466</v>
      </c>
      <c r="C72" s="8" t="s">
        <v>565</v>
      </c>
      <c r="D72" s="8"/>
      <c r="E72" s="29">
        <v>470000</v>
      </c>
      <c r="F72" s="29">
        <f>470000-274000</f>
        <v>196000</v>
      </c>
      <c r="G72" s="8" t="s">
        <v>424</v>
      </c>
      <c r="H72" s="8"/>
      <c r="I72" s="8"/>
      <c r="J72" s="8"/>
      <c r="K72" s="8"/>
      <c r="L72" s="8"/>
      <c r="M72" s="29">
        <f>+รายการ!I67</f>
        <v>0</v>
      </c>
      <c r="N72" s="29">
        <f>F72-M72</f>
        <v>196000</v>
      </c>
      <c r="O72" s="76"/>
      <c r="P72" s="19"/>
      <c r="Q72" s="65"/>
      <c r="R72" s="65"/>
      <c r="S72" s="65"/>
      <c r="T72" s="65"/>
      <c r="U72" s="65"/>
    </row>
    <row r="73" spans="1:21" s="35" customFormat="1" ht="47.25">
      <c r="A73" s="74">
        <v>63</v>
      </c>
      <c r="B73" s="19" t="s">
        <v>549</v>
      </c>
      <c r="C73" s="8" t="s">
        <v>565</v>
      </c>
      <c r="D73" s="8"/>
      <c r="E73" s="29">
        <v>10000</v>
      </c>
      <c r="F73" s="29">
        <f>10000-1375-2000-570-6055</f>
        <v>0</v>
      </c>
      <c r="G73" s="8" t="s">
        <v>424</v>
      </c>
      <c r="H73" s="8"/>
      <c r="I73" s="8"/>
      <c r="J73" s="8"/>
      <c r="K73" s="8"/>
      <c r="L73" s="8"/>
      <c r="M73" s="29">
        <f>+รายการ!I68</f>
        <v>0</v>
      </c>
      <c r="N73" s="29">
        <f>F73-M73</f>
        <v>0</v>
      </c>
      <c r="O73" s="76"/>
      <c r="P73" s="14" t="s">
        <v>398</v>
      </c>
      <c r="Q73" s="65"/>
      <c r="R73" s="65"/>
      <c r="S73" s="65"/>
      <c r="T73" s="65"/>
      <c r="U73" s="65"/>
    </row>
    <row r="74" spans="1:21" s="35" customFormat="1">
      <c r="A74" s="74"/>
      <c r="B74" s="75" t="s">
        <v>168</v>
      </c>
      <c r="C74" s="8"/>
      <c r="D74" s="8"/>
      <c r="E74" s="29"/>
      <c r="F74" s="29"/>
      <c r="G74" s="8"/>
      <c r="H74" s="8"/>
      <c r="I74" s="8"/>
      <c r="J74" s="8"/>
      <c r="K74" s="8"/>
      <c r="L74" s="8"/>
      <c r="M74" s="29"/>
      <c r="N74" s="29"/>
      <c r="O74" s="76"/>
      <c r="P74" s="19"/>
      <c r="Q74" s="65"/>
      <c r="R74" s="65"/>
      <c r="S74" s="65"/>
      <c r="T74" s="65"/>
      <c r="U74" s="65"/>
    </row>
    <row r="75" spans="1:21" s="35" customFormat="1">
      <c r="A75" s="74">
        <v>64</v>
      </c>
      <c r="B75" s="16" t="s">
        <v>227</v>
      </c>
      <c r="C75" s="8" t="s">
        <v>168</v>
      </c>
      <c r="D75" s="8"/>
      <c r="E75" s="17">
        <v>100000</v>
      </c>
      <c r="F75" s="29">
        <f>100000+400000-50000</f>
        <v>450000</v>
      </c>
      <c r="G75" s="15" t="s">
        <v>424</v>
      </c>
      <c r="H75" s="8"/>
      <c r="I75" s="8"/>
      <c r="J75" s="8"/>
      <c r="K75" s="8"/>
      <c r="L75" s="8" t="s">
        <v>125</v>
      </c>
      <c r="M75" s="29">
        <f>+รายการ!I71</f>
        <v>42500</v>
      </c>
      <c r="N75" s="29">
        <f>F75-M75</f>
        <v>407500</v>
      </c>
      <c r="O75" s="76"/>
      <c r="P75" s="19"/>
      <c r="Q75" s="65"/>
      <c r="R75" s="65"/>
      <c r="S75" s="65"/>
      <c r="T75" s="65"/>
      <c r="U75" s="65"/>
    </row>
    <row r="76" spans="1:21" s="35" customFormat="1">
      <c r="A76" s="74">
        <v>65</v>
      </c>
      <c r="B76" s="16" t="s">
        <v>96</v>
      </c>
      <c r="C76" s="8" t="s">
        <v>168</v>
      </c>
      <c r="D76" s="8"/>
      <c r="E76" s="17">
        <v>150000</v>
      </c>
      <c r="F76" s="29">
        <f>150000-90000</f>
        <v>60000</v>
      </c>
      <c r="G76" s="15" t="s">
        <v>424</v>
      </c>
      <c r="H76" s="8"/>
      <c r="I76" s="8"/>
      <c r="J76" s="8"/>
      <c r="K76" s="8"/>
      <c r="L76" s="8"/>
      <c r="M76" s="29">
        <f>+รายการ!I72</f>
        <v>0</v>
      </c>
      <c r="N76" s="29">
        <f>F76-M76</f>
        <v>60000</v>
      </c>
      <c r="O76" s="76"/>
      <c r="P76" s="19"/>
      <c r="Q76" s="65"/>
      <c r="R76" s="65"/>
      <c r="S76" s="65"/>
      <c r="T76" s="65"/>
      <c r="U76" s="65"/>
    </row>
    <row r="77" spans="1:21" s="35" customFormat="1">
      <c r="A77" s="74">
        <v>66</v>
      </c>
      <c r="B77" s="16" t="s">
        <v>550</v>
      </c>
      <c r="C77" s="8" t="s">
        <v>168</v>
      </c>
      <c r="D77" s="8"/>
      <c r="E77" s="17">
        <v>100000</v>
      </c>
      <c r="F77" s="29">
        <f>100000-32000+106300+20000+101639.84+103544+30489.9</f>
        <v>429973.74</v>
      </c>
      <c r="G77" s="15" t="s">
        <v>424</v>
      </c>
      <c r="H77" s="8"/>
      <c r="I77" s="8"/>
      <c r="J77" s="8"/>
      <c r="K77" s="8"/>
      <c r="L77" s="8"/>
      <c r="M77" s="29">
        <f>+รายการ!I73</f>
        <v>0</v>
      </c>
      <c r="N77" s="29">
        <f>F77-M77</f>
        <v>429973.74</v>
      </c>
      <c r="O77" s="76"/>
      <c r="P77" s="19"/>
      <c r="Q77" s="65"/>
      <c r="R77" s="65"/>
      <c r="S77" s="65"/>
      <c r="T77" s="65"/>
      <c r="U77" s="65"/>
    </row>
    <row r="78" spans="1:21" s="35" customFormat="1">
      <c r="A78" s="74">
        <v>67</v>
      </c>
      <c r="B78" s="16" t="s">
        <v>551</v>
      </c>
      <c r="C78" s="8" t="s">
        <v>168</v>
      </c>
      <c r="D78" s="8"/>
      <c r="E78" s="17">
        <v>100000</v>
      </c>
      <c r="F78" s="29">
        <f>+E78+50000</f>
        <v>150000</v>
      </c>
      <c r="G78" s="15" t="s">
        <v>424</v>
      </c>
      <c r="H78" s="8"/>
      <c r="I78" s="8"/>
      <c r="J78" s="8"/>
      <c r="K78" s="8"/>
      <c r="L78" s="8"/>
      <c r="M78" s="29">
        <f>+รายการ!I74</f>
        <v>0</v>
      </c>
      <c r="N78" s="29">
        <f>+F78</f>
        <v>150000</v>
      </c>
      <c r="O78" s="76"/>
      <c r="P78" s="19"/>
      <c r="Q78" s="65"/>
      <c r="R78" s="65"/>
      <c r="S78" s="65"/>
      <c r="T78" s="65"/>
      <c r="U78" s="65"/>
    </row>
    <row r="79" spans="1:21" s="35" customFormat="1" ht="56.25">
      <c r="A79" s="74">
        <v>68</v>
      </c>
      <c r="B79" s="16" t="s">
        <v>430</v>
      </c>
      <c r="C79" s="8" t="s">
        <v>168</v>
      </c>
      <c r="D79" s="8"/>
      <c r="E79" s="17">
        <v>32000</v>
      </c>
      <c r="F79" s="29">
        <f>32000-800</f>
        <v>31200</v>
      </c>
      <c r="G79" s="15" t="s">
        <v>424</v>
      </c>
      <c r="H79" s="8"/>
      <c r="I79" s="8"/>
      <c r="J79" s="8"/>
      <c r="K79" s="8"/>
      <c r="L79" s="8" t="s">
        <v>125</v>
      </c>
      <c r="M79" s="29">
        <v>31200</v>
      </c>
      <c r="N79" s="29">
        <f>F79-M79</f>
        <v>0</v>
      </c>
      <c r="O79" s="76"/>
      <c r="P79" s="19"/>
      <c r="Q79" s="65"/>
      <c r="R79" s="65"/>
      <c r="S79" s="65"/>
      <c r="T79" s="65"/>
      <c r="U79" s="65"/>
    </row>
    <row r="80" spans="1:21" s="35" customFormat="1" ht="37.5">
      <c r="A80" s="74">
        <v>69</v>
      </c>
      <c r="B80" s="16" t="s">
        <v>524</v>
      </c>
      <c r="C80" s="8" t="s">
        <v>168</v>
      </c>
      <c r="D80" s="8"/>
      <c r="E80" s="17">
        <v>6400</v>
      </c>
      <c r="F80" s="29">
        <f>6400-2000</f>
        <v>4400</v>
      </c>
      <c r="G80" s="15" t="s">
        <v>424</v>
      </c>
      <c r="H80" s="8"/>
      <c r="I80" s="8"/>
      <c r="J80" s="8"/>
      <c r="K80" s="8"/>
      <c r="L80" s="8" t="s">
        <v>125</v>
      </c>
      <c r="M80" s="29">
        <v>4400</v>
      </c>
      <c r="N80" s="29">
        <f>F80-M80</f>
        <v>0</v>
      </c>
      <c r="O80" s="76"/>
      <c r="P80" s="19"/>
      <c r="Q80" s="65"/>
      <c r="R80" s="65"/>
      <c r="S80" s="65"/>
      <c r="T80" s="65"/>
      <c r="U80" s="65"/>
    </row>
    <row r="81" spans="1:21" s="35" customFormat="1" ht="56.25">
      <c r="A81" s="74">
        <v>70</v>
      </c>
      <c r="B81" s="16" t="s">
        <v>634</v>
      </c>
      <c r="C81" s="8" t="s">
        <v>168</v>
      </c>
      <c r="D81" s="8"/>
      <c r="E81" s="17">
        <v>39400</v>
      </c>
      <c r="F81" s="29"/>
      <c r="G81" s="15" t="s">
        <v>424</v>
      </c>
      <c r="H81" s="8"/>
      <c r="I81" s="8"/>
      <c r="J81" s="8"/>
      <c r="K81" s="8"/>
      <c r="L81" s="8" t="s">
        <v>125</v>
      </c>
      <c r="M81" s="29">
        <v>39400</v>
      </c>
      <c r="N81" s="29">
        <f t="shared" ref="N81:N87" si="4">E81-M81</f>
        <v>0</v>
      </c>
      <c r="O81" s="76"/>
      <c r="P81" s="19"/>
      <c r="Q81" s="65"/>
      <c r="R81" s="65"/>
      <c r="S81" s="65"/>
      <c r="T81" s="65"/>
      <c r="U81" s="65"/>
    </row>
    <row r="82" spans="1:21" s="35" customFormat="1" ht="93.75">
      <c r="A82" s="74">
        <v>71</v>
      </c>
      <c r="B82" s="16" t="s">
        <v>633</v>
      </c>
      <c r="C82" s="8" t="s">
        <v>168</v>
      </c>
      <c r="D82" s="8"/>
      <c r="E82" s="17">
        <v>157600</v>
      </c>
      <c r="F82" s="29"/>
      <c r="G82" s="15" t="s">
        <v>424</v>
      </c>
      <c r="H82" s="8"/>
      <c r="I82" s="8"/>
      <c r="J82" s="8"/>
      <c r="K82" s="8"/>
      <c r="L82" s="8" t="s">
        <v>125</v>
      </c>
      <c r="M82" s="29">
        <v>130700</v>
      </c>
      <c r="N82" s="29">
        <f>E82-M82</f>
        <v>26900</v>
      </c>
      <c r="O82" s="76"/>
      <c r="P82" s="19"/>
      <c r="Q82" s="65"/>
      <c r="R82" s="65"/>
      <c r="S82" s="65"/>
      <c r="T82" s="65"/>
      <c r="U82" s="65"/>
    </row>
    <row r="83" spans="1:21" s="35" customFormat="1" ht="56.25">
      <c r="A83" s="74">
        <v>72</v>
      </c>
      <c r="B83" s="16" t="s">
        <v>567</v>
      </c>
      <c r="C83" s="8" t="s">
        <v>168</v>
      </c>
      <c r="D83" s="8"/>
      <c r="E83" s="17">
        <v>265000</v>
      </c>
      <c r="F83" s="29"/>
      <c r="G83" s="15" t="s">
        <v>424</v>
      </c>
      <c r="H83" s="8"/>
      <c r="I83" s="8"/>
      <c r="J83" s="8"/>
      <c r="K83" s="8"/>
      <c r="L83" s="8" t="s">
        <v>125</v>
      </c>
      <c r="M83" s="29">
        <v>196000</v>
      </c>
      <c r="N83" s="29">
        <f t="shared" si="4"/>
        <v>69000</v>
      </c>
      <c r="O83" s="76"/>
      <c r="P83" s="19"/>
      <c r="Q83" s="65"/>
      <c r="R83" s="65"/>
      <c r="S83" s="65"/>
      <c r="T83" s="65"/>
      <c r="U83" s="65"/>
    </row>
    <row r="84" spans="1:21" s="35" customFormat="1" ht="56.25">
      <c r="A84" s="74">
        <v>73</v>
      </c>
      <c r="B84" s="16" t="s">
        <v>474</v>
      </c>
      <c r="C84" s="8" t="s">
        <v>168</v>
      </c>
      <c r="D84" s="8"/>
      <c r="E84" s="17">
        <v>99300</v>
      </c>
      <c r="F84" s="29"/>
      <c r="G84" s="15" t="s">
        <v>424</v>
      </c>
      <c r="H84" s="8"/>
      <c r="I84" s="8"/>
      <c r="J84" s="8"/>
      <c r="K84" s="8"/>
      <c r="L84" s="8" t="s">
        <v>125</v>
      </c>
      <c r="M84" s="29">
        <v>99300</v>
      </c>
      <c r="N84" s="29">
        <f t="shared" si="4"/>
        <v>0</v>
      </c>
      <c r="O84" s="76"/>
      <c r="P84" s="19"/>
      <c r="Q84" s="65"/>
      <c r="R84" s="65"/>
      <c r="S84" s="65"/>
      <c r="T84" s="65"/>
      <c r="U84" s="65"/>
    </row>
    <row r="85" spans="1:21" s="35" customFormat="1" ht="56.25">
      <c r="A85" s="74">
        <v>74</v>
      </c>
      <c r="B85" s="16" t="s">
        <v>552</v>
      </c>
      <c r="C85" s="8" t="s">
        <v>168</v>
      </c>
      <c r="D85" s="8"/>
      <c r="E85" s="17">
        <v>121200</v>
      </c>
      <c r="F85" s="29"/>
      <c r="G85" s="15" t="s">
        <v>424</v>
      </c>
      <c r="H85" s="8"/>
      <c r="I85" s="8"/>
      <c r="J85" s="8"/>
      <c r="K85" s="8"/>
      <c r="L85" s="8" t="s">
        <v>125</v>
      </c>
      <c r="M85" s="29">
        <v>121200</v>
      </c>
      <c r="N85" s="29">
        <f t="shared" si="4"/>
        <v>0</v>
      </c>
      <c r="O85" s="76"/>
      <c r="P85" s="19"/>
      <c r="Q85" s="65"/>
      <c r="R85" s="65"/>
      <c r="S85" s="65"/>
      <c r="T85" s="65"/>
      <c r="U85" s="65"/>
    </row>
    <row r="86" spans="1:21" s="35" customFormat="1" ht="37.5">
      <c r="A86" s="74">
        <v>75</v>
      </c>
      <c r="B86" s="16" t="s">
        <v>553</v>
      </c>
      <c r="C86" s="8" t="s">
        <v>168</v>
      </c>
      <c r="D86" s="8"/>
      <c r="E86" s="17">
        <v>99700</v>
      </c>
      <c r="F86" s="29"/>
      <c r="G86" s="15" t="s">
        <v>424</v>
      </c>
      <c r="H86" s="8"/>
      <c r="I86" s="8"/>
      <c r="J86" s="8"/>
      <c r="K86" s="8"/>
      <c r="L86" s="8" t="s">
        <v>125</v>
      </c>
      <c r="M86" s="281">
        <v>99700</v>
      </c>
      <c r="N86" s="29">
        <f t="shared" si="4"/>
        <v>0</v>
      </c>
      <c r="O86" s="76"/>
      <c r="P86" s="19"/>
      <c r="Q86" s="65"/>
      <c r="R86" s="65"/>
      <c r="S86" s="65"/>
      <c r="T86" s="65"/>
      <c r="U86" s="65"/>
    </row>
    <row r="87" spans="1:21" s="35" customFormat="1" ht="37.5">
      <c r="A87" s="74">
        <v>76</v>
      </c>
      <c r="B87" s="16" t="s">
        <v>554</v>
      </c>
      <c r="C87" s="8" t="s">
        <v>168</v>
      </c>
      <c r="D87" s="8"/>
      <c r="E87" s="17">
        <v>99500</v>
      </c>
      <c r="F87" s="29"/>
      <c r="G87" s="15" t="s">
        <v>424</v>
      </c>
      <c r="H87" s="8"/>
      <c r="I87" s="8"/>
      <c r="J87" s="8"/>
      <c r="K87" s="8"/>
      <c r="L87" s="8" t="s">
        <v>125</v>
      </c>
      <c r="M87" s="29">
        <v>99500</v>
      </c>
      <c r="N87" s="29">
        <f t="shared" si="4"/>
        <v>0</v>
      </c>
      <c r="O87" s="76"/>
      <c r="P87" s="19"/>
      <c r="Q87" s="65"/>
      <c r="R87" s="65"/>
      <c r="S87" s="65"/>
      <c r="T87" s="65"/>
      <c r="U87" s="65"/>
    </row>
    <row r="88" spans="1:21" s="35" customFormat="1" ht="37.5">
      <c r="A88" s="74">
        <v>77</v>
      </c>
      <c r="B88" s="16" t="s">
        <v>379</v>
      </c>
      <c r="C88" s="8" t="s">
        <v>168</v>
      </c>
      <c r="D88" s="8"/>
      <c r="E88" s="17">
        <v>227500</v>
      </c>
      <c r="F88" s="29">
        <f>227500-3400</f>
        <v>224100</v>
      </c>
      <c r="G88" s="15" t="s">
        <v>424</v>
      </c>
      <c r="H88" s="8"/>
      <c r="I88" s="8"/>
      <c r="J88" s="8"/>
      <c r="K88" s="8"/>
      <c r="L88" s="8" t="s">
        <v>125</v>
      </c>
      <c r="M88" s="29">
        <v>224100</v>
      </c>
      <c r="N88" s="29">
        <f>F88-M88</f>
        <v>0</v>
      </c>
      <c r="O88" s="76"/>
      <c r="P88" s="19"/>
      <c r="Q88" s="65"/>
      <c r="R88" s="65"/>
      <c r="S88" s="65"/>
      <c r="T88" s="65"/>
      <c r="U88" s="65"/>
    </row>
    <row r="89" spans="1:21" s="35" customFormat="1" ht="37.5">
      <c r="A89" s="74">
        <v>78</v>
      </c>
      <c r="B89" s="16" t="s">
        <v>380</v>
      </c>
      <c r="C89" s="8" t="s">
        <v>168</v>
      </c>
      <c r="D89" s="8"/>
      <c r="E89" s="17">
        <v>99900</v>
      </c>
      <c r="F89" s="29">
        <f>99900-6500</f>
        <v>93400</v>
      </c>
      <c r="G89" s="15" t="s">
        <v>424</v>
      </c>
      <c r="H89" s="8"/>
      <c r="I89" s="8"/>
      <c r="J89" s="8"/>
      <c r="K89" s="8"/>
      <c r="L89" s="8" t="s">
        <v>125</v>
      </c>
      <c r="M89" s="29">
        <v>93400</v>
      </c>
      <c r="N89" s="29">
        <f>F89-M89</f>
        <v>0</v>
      </c>
      <c r="O89" s="76"/>
      <c r="P89" s="19"/>
      <c r="Q89" s="65"/>
      <c r="R89" s="65"/>
      <c r="S89" s="65"/>
      <c r="T89" s="65"/>
      <c r="U89" s="65"/>
    </row>
    <row r="90" spans="1:21" s="35" customFormat="1" ht="37.5">
      <c r="A90" s="74">
        <v>79</v>
      </c>
      <c r="B90" s="16" t="s">
        <v>381</v>
      </c>
      <c r="C90" s="8" t="s">
        <v>168</v>
      </c>
      <c r="D90" s="8"/>
      <c r="E90" s="17">
        <v>243700</v>
      </c>
      <c r="F90" s="29">
        <f>243700-16500</f>
        <v>227200</v>
      </c>
      <c r="G90" s="15" t="s">
        <v>424</v>
      </c>
      <c r="H90" s="8"/>
      <c r="I90" s="8"/>
      <c r="J90" s="8"/>
      <c r="K90" s="8"/>
      <c r="L90" s="8" t="s">
        <v>125</v>
      </c>
      <c r="M90" s="29">
        <v>227200</v>
      </c>
      <c r="N90" s="29">
        <f>F90-M90</f>
        <v>0</v>
      </c>
      <c r="O90" s="76"/>
      <c r="P90" s="19"/>
      <c r="Q90" s="65"/>
      <c r="R90" s="65"/>
      <c r="S90" s="65"/>
      <c r="T90" s="65"/>
      <c r="U90" s="65"/>
    </row>
    <row r="91" spans="1:21" s="35" customFormat="1" ht="37.5">
      <c r="A91" s="74">
        <v>80</v>
      </c>
      <c r="B91" s="16" t="s">
        <v>478</v>
      </c>
      <c r="C91" s="8" t="s">
        <v>168</v>
      </c>
      <c r="D91" s="8"/>
      <c r="E91" s="17">
        <v>165000</v>
      </c>
      <c r="F91" s="29">
        <f>165000-1900</f>
        <v>163100</v>
      </c>
      <c r="G91" s="15" t="s">
        <v>424</v>
      </c>
      <c r="H91" s="8"/>
      <c r="I91" s="8"/>
      <c r="J91" s="8"/>
      <c r="K91" s="8"/>
      <c r="L91" s="8" t="s">
        <v>125</v>
      </c>
      <c r="M91" s="29">
        <v>163100</v>
      </c>
      <c r="N91" s="29">
        <f>F91-M91</f>
        <v>0</v>
      </c>
      <c r="O91" s="76"/>
      <c r="P91" s="19"/>
      <c r="Q91" s="65"/>
      <c r="R91" s="65"/>
      <c r="S91" s="65"/>
      <c r="T91" s="65"/>
      <c r="U91" s="65"/>
    </row>
    <row r="92" spans="1:21" s="35" customFormat="1" ht="37.5">
      <c r="A92" s="74">
        <v>81</v>
      </c>
      <c r="B92" s="16" t="s">
        <v>555</v>
      </c>
      <c r="C92" s="8" t="s">
        <v>168</v>
      </c>
      <c r="D92" s="8"/>
      <c r="E92" s="17">
        <v>165000</v>
      </c>
      <c r="F92" s="29"/>
      <c r="G92" s="15" t="s">
        <v>424</v>
      </c>
      <c r="H92" s="8"/>
      <c r="I92" s="8"/>
      <c r="J92" s="8"/>
      <c r="K92" s="8"/>
      <c r="L92" s="8"/>
      <c r="M92" s="29">
        <f>+รายการ!I87</f>
        <v>0</v>
      </c>
      <c r="N92" s="29">
        <f>E92-M92</f>
        <v>165000</v>
      </c>
      <c r="O92" s="76"/>
      <c r="P92" s="19"/>
      <c r="Q92" s="65"/>
      <c r="R92" s="65"/>
      <c r="S92" s="65"/>
      <c r="T92" s="65"/>
      <c r="U92" s="65"/>
    </row>
    <row r="93" spans="1:21" s="35" customFormat="1" ht="56.25">
      <c r="A93" s="74">
        <v>82</v>
      </c>
      <c r="B93" s="16" t="s">
        <v>382</v>
      </c>
      <c r="C93" s="8" t="s">
        <v>168</v>
      </c>
      <c r="D93" s="8"/>
      <c r="E93" s="17">
        <v>197000</v>
      </c>
      <c r="F93" s="29">
        <f>197000-54000</f>
        <v>143000</v>
      </c>
      <c r="G93" s="15" t="s">
        <v>424</v>
      </c>
      <c r="H93" s="8"/>
      <c r="I93" s="8"/>
      <c r="J93" s="8"/>
      <c r="K93" s="8"/>
      <c r="L93" s="8" t="s">
        <v>125</v>
      </c>
      <c r="M93" s="29">
        <f>+รายการ!I88</f>
        <v>143000</v>
      </c>
      <c r="N93" s="29">
        <f>F93-M93</f>
        <v>0</v>
      </c>
      <c r="O93" s="76"/>
      <c r="P93" s="19"/>
      <c r="Q93" s="65"/>
      <c r="R93" s="65"/>
      <c r="S93" s="65"/>
      <c r="T93" s="65"/>
      <c r="U93" s="65"/>
    </row>
    <row r="94" spans="1:21" s="35" customFormat="1" ht="56.25">
      <c r="A94" s="74">
        <v>83</v>
      </c>
      <c r="B94" s="16" t="s">
        <v>556</v>
      </c>
      <c r="C94" s="8" t="s">
        <v>168</v>
      </c>
      <c r="D94" s="8"/>
      <c r="E94" s="17">
        <v>213000</v>
      </c>
      <c r="F94" s="29"/>
      <c r="G94" s="15" t="s">
        <v>424</v>
      </c>
      <c r="H94" s="8"/>
      <c r="I94" s="8"/>
      <c r="J94" s="8"/>
      <c r="K94" s="8"/>
      <c r="L94" s="8" t="s">
        <v>125</v>
      </c>
      <c r="M94" s="29">
        <v>213000</v>
      </c>
      <c r="N94" s="29">
        <f>E94-M94</f>
        <v>0</v>
      </c>
      <c r="O94" s="76"/>
      <c r="P94" s="19"/>
      <c r="Q94" s="65"/>
      <c r="R94" s="65"/>
      <c r="S94" s="65"/>
      <c r="T94" s="65"/>
      <c r="U94" s="65"/>
    </row>
    <row r="95" spans="1:21" s="35" customFormat="1" ht="56.25">
      <c r="A95" s="74">
        <v>84</v>
      </c>
      <c r="B95" s="16" t="s">
        <v>383</v>
      </c>
      <c r="C95" s="8" t="s">
        <v>168</v>
      </c>
      <c r="D95" s="8"/>
      <c r="E95" s="17">
        <v>139000</v>
      </c>
      <c r="F95" s="29"/>
      <c r="G95" s="15" t="s">
        <v>424</v>
      </c>
      <c r="H95" s="8"/>
      <c r="I95" s="8"/>
      <c r="J95" s="8"/>
      <c r="K95" s="8"/>
      <c r="L95" s="8" t="s">
        <v>125</v>
      </c>
      <c r="M95" s="29">
        <v>139000</v>
      </c>
      <c r="N95" s="29">
        <f>E95-M95</f>
        <v>0</v>
      </c>
      <c r="O95" s="76"/>
      <c r="P95" s="19"/>
      <c r="Q95" s="65"/>
      <c r="R95" s="65"/>
      <c r="S95" s="65"/>
      <c r="T95" s="65"/>
      <c r="U95" s="65"/>
    </row>
    <row r="96" spans="1:21" s="35" customFormat="1" ht="37.5">
      <c r="A96" s="74">
        <v>85</v>
      </c>
      <c r="B96" s="16" t="s">
        <v>569</v>
      </c>
      <c r="C96" s="8" t="s">
        <v>168</v>
      </c>
      <c r="D96" s="8"/>
      <c r="E96" s="17">
        <v>99000</v>
      </c>
      <c r="F96" s="29">
        <f>99000-350</f>
        <v>98650</v>
      </c>
      <c r="G96" s="15" t="s">
        <v>424</v>
      </c>
      <c r="H96" s="8"/>
      <c r="I96" s="8"/>
      <c r="J96" s="8"/>
      <c r="K96" s="8"/>
      <c r="L96" s="8" t="s">
        <v>125</v>
      </c>
      <c r="M96" s="29">
        <v>98650</v>
      </c>
      <c r="N96" s="29">
        <f>F96-M96</f>
        <v>0</v>
      </c>
      <c r="O96" s="76"/>
      <c r="P96" s="19"/>
      <c r="Q96" s="65"/>
      <c r="R96" s="65"/>
      <c r="S96" s="65"/>
      <c r="T96" s="65"/>
      <c r="U96" s="65"/>
    </row>
    <row r="97" spans="1:21" s="35" customFormat="1" ht="37.5">
      <c r="A97" s="74">
        <v>86</v>
      </c>
      <c r="B97" s="16" t="s">
        <v>557</v>
      </c>
      <c r="C97" s="8" t="s">
        <v>168</v>
      </c>
      <c r="D97" s="8"/>
      <c r="E97" s="17">
        <v>99600</v>
      </c>
      <c r="F97" s="29"/>
      <c r="G97" s="15" t="s">
        <v>424</v>
      </c>
      <c r="H97" s="8"/>
      <c r="I97" s="8"/>
      <c r="J97" s="8"/>
      <c r="K97" s="8"/>
      <c r="L97" s="8" t="s">
        <v>125</v>
      </c>
      <c r="M97" s="29">
        <v>99600</v>
      </c>
      <c r="N97" s="29">
        <f>E97-M97</f>
        <v>0</v>
      </c>
      <c r="O97" s="76"/>
      <c r="P97" s="19"/>
      <c r="Q97" s="65"/>
      <c r="R97" s="65"/>
      <c r="S97" s="65"/>
      <c r="T97" s="65"/>
      <c r="U97" s="65"/>
    </row>
    <row r="98" spans="1:21" s="35" customFormat="1" ht="37.5">
      <c r="A98" s="74">
        <v>87</v>
      </c>
      <c r="B98" s="16" t="s">
        <v>558</v>
      </c>
      <c r="C98" s="8" t="s">
        <v>168</v>
      </c>
      <c r="D98" s="8"/>
      <c r="E98" s="17">
        <v>99500</v>
      </c>
      <c r="F98" s="29">
        <f>99500-500</f>
        <v>99000</v>
      </c>
      <c r="G98" s="15" t="s">
        <v>424</v>
      </c>
      <c r="H98" s="8"/>
      <c r="I98" s="8"/>
      <c r="J98" s="8"/>
      <c r="K98" s="8"/>
      <c r="L98" s="8" t="s">
        <v>125</v>
      </c>
      <c r="M98" s="29">
        <v>99000</v>
      </c>
      <c r="N98" s="29">
        <f>F98-M98</f>
        <v>0</v>
      </c>
      <c r="O98" s="76"/>
      <c r="P98" s="19"/>
      <c r="Q98" s="65"/>
      <c r="R98" s="65"/>
      <c r="S98" s="65"/>
      <c r="T98" s="65"/>
      <c r="U98" s="65"/>
    </row>
    <row r="99" spans="1:21" s="35" customFormat="1" ht="37.5">
      <c r="A99" s="74">
        <v>88</v>
      </c>
      <c r="B99" s="16" t="s">
        <v>559</v>
      </c>
      <c r="C99" s="8" t="s">
        <v>168</v>
      </c>
      <c r="D99" s="8"/>
      <c r="E99" s="17">
        <v>99700</v>
      </c>
      <c r="F99" s="29">
        <f>99700-500</f>
        <v>99200</v>
      </c>
      <c r="G99" s="15" t="s">
        <v>424</v>
      </c>
      <c r="H99" s="8"/>
      <c r="I99" s="8"/>
      <c r="J99" s="8"/>
      <c r="K99" s="8"/>
      <c r="L99" s="8" t="s">
        <v>125</v>
      </c>
      <c r="M99" s="29">
        <v>99200</v>
      </c>
      <c r="N99" s="29">
        <f>F99-M99</f>
        <v>0</v>
      </c>
      <c r="O99" s="76"/>
      <c r="P99" s="19"/>
      <c r="Q99" s="65"/>
      <c r="R99" s="65"/>
      <c r="S99" s="65"/>
      <c r="T99" s="65"/>
      <c r="U99" s="65"/>
    </row>
    <row r="100" spans="1:21" s="35" customFormat="1" ht="37.5">
      <c r="A100" s="74">
        <v>89</v>
      </c>
      <c r="B100" s="16" t="s">
        <v>560</v>
      </c>
      <c r="C100" s="8" t="s">
        <v>168</v>
      </c>
      <c r="D100" s="8"/>
      <c r="E100" s="17">
        <v>99400</v>
      </c>
      <c r="F100" s="29">
        <f>99400-400</f>
        <v>99000</v>
      </c>
      <c r="G100" s="15" t="s">
        <v>424</v>
      </c>
      <c r="H100" s="8"/>
      <c r="I100" s="8"/>
      <c r="J100" s="8"/>
      <c r="K100" s="8"/>
      <c r="L100" s="8" t="s">
        <v>125</v>
      </c>
      <c r="M100" s="29">
        <v>99000</v>
      </c>
      <c r="N100" s="29">
        <f>F100-M100</f>
        <v>0</v>
      </c>
      <c r="O100" s="76"/>
      <c r="P100" s="19"/>
      <c r="Q100" s="65"/>
      <c r="R100" s="65"/>
      <c r="S100" s="65"/>
      <c r="T100" s="65"/>
      <c r="U100" s="65"/>
    </row>
    <row r="101" spans="1:21" s="35" customFormat="1">
      <c r="A101" s="74">
        <v>90</v>
      </c>
      <c r="B101" s="16" t="s">
        <v>102</v>
      </c>
      <c r="C101" s="8" t="s">
        <v>168</v>
      </c>
      <c r="D101" s="8"/>
      <c r="E101" s="17">
        <v>100000</v>
      </c>
      <c r="F101" s="29"/>
      <c r="G101" s="15" t="s">
        <v>424</v>
      </c>
      <c r="H101" s="8"/>
      <c r="I101" s="8"/>
      <c r="J101" s="8"/>
      <c r="K101" s="8"/>
      <c r="L101" s="8"/>
      <c r="M101" s="29">
        <f>+รายการ!I96</f>
        <v>0</v>
      </c>
      <c r="N101" s="29">
        <f>E101-M101</f>
        <v>100000</v>
      </c>
      <c r="O101" s="76"/>
      <c r="P101" s="19"/>
      <c r="Q101" s="65"/>
      <c r="R101" s="65"/>
      <c r="S101" s="65"/>
      <c r="T101" s="65"/>
      <c r="U101" s="65"/>
    </row>
    <row r="102" spans="1:21" s="35" customFormat="1" ht="56.25">
      <c r="A102" s="74">
        <v>91</v>
      </c>
      <c r="B102" s="16" t="s">
        <v>561</v>
      </c>
      <c r="C102" s="8" t="s">
        <v>168</v>
      </c>
      <c r="D102" s="8"/>
      <c r="E102" s="17">
        <v>97900</v>
      </c>
      <c r="F102" s="29">
        <f>97900-70000</f>
        <v>27900</v>
      </c>
      <c r="G102" s="15" t="s">
        <v>424</v>
      </c>
      <c r="H102" s="8"/>
      <c r="I102" s="8"/>
      <c r="J102" s="8"/>
      <c r="K102" s="8"/>
      <c r="L102" s="8"/>
      <c r="M102" s="29">
        <f>+รายการ!I97</f>
        <v>0</v>
      </c>
      <c r="N102" s="29">
        <f>F102-M102</f>
        <v>27900</v>
      </c>
      <c r="O102" s="76"/>
      <c r="P102" s="19"/>
      <c r="Q102" s="65"/>
      <c r="R102" s="65"/>
      <c r="S102" s="65"/>
      <c r="T102" s="65"/>
      <c r="U102" s="65"/>
    </row>
    <row r="103" spans="1:21" s="35" customFormat="1" ht="37.5">
      <c r="A103" s="74">
        <v>92</v>
      </c>
      <c r="B103" s="16" t="s">
        <v>520</v>
      </c>
      <c r="C103" s="8" t="s">
        <v>168</v>
      </c>
      <c r="D103" s="8"/>
      <c r="E103" s="17">
        <v>2694400</v>
      </c>
      <c r="F103" s="29"/>
      <c r="G103" s="15" t="s">
        <v>424</v>
      </c>
      <c r="H103" s="8"/>
      <c r="I103" s="8"/>
      <c r="J103" s="8"/>
      <c r="K103" s="8"/>
      <c r="L103" s="8" t="s">
        <v>125</v>
      </c>
      <c r="M103" s="282">
        <v>1196042</v>
      </c>
      <c r="N103" s="29">
        <f t="shared" ref="N103:N109" si="5">E103-M103</f>
        <v>1498358</v>
      </c>
      <c r="O103" s="76"/>
      <c r="P103" s="19"/>
      <c r="Q103" s="65"/>
      <c r="R103" s="65"/>
      <c r="S103" s="65"/>
      <c r="T103" s="65"/>
      <c r="U103" s="65"/>
    </row>
    <row r="104" spans="1:21" s="35" customFormat="1" ht="37.5">
      <c r="A104" s="74">
        <v>93</v>
      </c>
      <c r="B104" s="16" t="s">
        <v>521</v>
      </c>
      <c r="C104" s="8" t="s">
        <v>168</v>
      </c>
      <c r="D104" s="8"/>
      <c r="E104" s="17">
        <v>2694400</v>
      </c>
      <c r="F104" s="29"/>
      <c r="G104" s="15" t="s">
        <v>424</v>
      </c>
      <c r="H104" s="8"/>
      <c r="I104" s="8"/>
      <c r="J104" s="8"/>
      <c r="K104" s="8"/>
      <c r="L104" s="8" t="s">
        <v>125</v>
      </c>
      <c r="M104" s="282">
        <v>1157042</v>
      </c>
      <c r="N104" s="29">
        <f t="shared" si="5"/>
        <v>1537358</v>
      </c>
      <c r="O104" s="76"/>
      <c r="P104" s="19"/>
      <c r="Q104" s="65"/>
      <c r="R104" s="65"/>
      <c r="S104" s="65"/>
      <c r="T104" s="65"/>
      <c r="U104" s="65"/>
    </row>
    <row r="105" spans="1:21" s="35" customFormat="1" ht="37.5">
      <c r="A105" s="74">
        <v>94</v>
      </c>
      <c r="B105" s="16" t="s">
        <v>522</v>
      </c>
      <c r="C105" s="8" t="s">
        <v>168</v>
      </c>
      <c r="D105" s="8"/>
      <c r="E105" s="17">
        <v>499700</v>
      </c>
      <c r="F105" s="29"/>
      <c r="G105" s="15" t="s">
        <v>568</v>
      </c>
      <c r="H105" s="8"/>
      <c r="I105" s="8"/>
      <c r="J105" s="8"/>
      <c r="K105" s="8"/>
      <c r="L105" s="8" t="s">
        <v>125</v>
      </c>
      <c r="M105" s="29">
        <v>499700</v>
      </c>
      <c r="N105" s="29">
        <f t="shared" si="5"/>
        <v>0</v>
      </c>
      <c r="O105" s="76"/>
      <c r="P105" s="19"/>
      <c r="Q105" s="65"/>
      <c r="R105" s="65"/>
      <c r="S105" s="65"/>
      <c r="T105" s="65"/>
      <c r="U105" s="65"/>
    </row>
    <row r="106" spans="1:21" s="35" customFormat="1" ht="37.5">
      <c r="A106" s="74">
        <v>95</v>
      </c>
      <c r="B106" s="16" t="s">
        <v>421</v>
      </c>
      <c r="C106" s="8" t="s">
        <v>168</v>
      </c>
      <c r="D106" s="8"/>
      <c r="E106" s="17">
        <v>303773</v>
      </c>
      <c r="F106" s="29"/>
      <c r="G106" s="15" t="s">
        <v>568</v>
      </c>
      <c r="H106" s="8"/>
      <c r="I106" s="8"/>
      <c r="J106" s="8"/>
      <c r="K106" s="8"/>
      <c r="L106" s="8" t="s">
        <v>125</v>
      </c>
      <c r="M106" s="29">
        <v>300000</v>
      </c>
      <c r="N106" s="29">
        <f t="shared" si="5"/>
        <v>3773</v>
      </c>
      <c r="O106" s="76"/>
      <c r="P106" s="19"/>
      <c r="Q106" s="65"/>
      <c r="R106" s="65"/>
      <c r="S106" s="65"/>
      <c r="T106" s="65"/>
      <c r="U106" s="65"/>
    </row>
    <row r="107" spans="1:21" s="35" customFormat="1" ht="37.5">
      <c r="A107" s="74">
        <v>96</v>
      </c>
      <c r="B107" s="16" t="s">
        <v>562</v>
      </c>
      <c r="C107" s="8" t="s">
        <v>168</v>
      </c>
      <c r="D107" s="8"/>
      <c r="E107" s="17">
        <v>181000</v>
      </c>
      <c r="F107" s="29"/>
      <c r="G107" s="15" t="s">
        <v>568</v>
      </c>
      <c r="H107" s="8"/>
      <c r="I107" s="8"/>
      <c r="J107" s="8"/>
      <c r="K107" s="8"/>
      <c r="L107" s="8" t="s">
        <v>125</v>
      </c>
      <c r="M107" s="29">
        <v>181000</v>
      </c>
      <c r="N107" s="29">
        <f t="shared" si="5"/>
        <v>0</v>
      </c>
      <c r="O107" s="76"/>
      <c r="P107" s="19"/>
      <c r="Q107" s="65"/>
      <c r="R107" s="65"/>
      <c r="S107" s="65"/>
      <c r="T107" s="65"/>
      <c r="U107" s="65"/>
    </row>
    <row r="108" spans="1:21" s="35" customFormat="1" ht="37.5">
      <c r="A108" s="74">
        <v>97</v>
      </c>
      <c r="B108" s="16" t="s">
        <v>563</v>
      </c>
      <c r="C108" s="8" t="s">
        <v>168</v>
      </c>
      <c r="D108" s="8"/>
      <c r="E108" s="17">
        <v>171000</v>
      </c>
      <c r="F108" s="29"/>
      <c r="G108" s="15" t="s">
        <v>568</v>
      </c>
      <c r="H108" s="8"/>
      <c r="I108" s="8"/>
      <c r="J108" s="8"/>
      <c r="K108" s="8"/>
      <c r="L108" s="8" t="s">
        <v>125</v>
      </c>
      <c r="M108" s="29">
        <v>171000</v>
      </c>
      <c r="N108" s="29">
        <f t="shared" si="5"/>
        <v>0</v>
      </c>
      <c r="O108" s="76"/>
      <c r="P108" s="19"/>
      <c r="Q108" s="65"/>
      <c r="R108" s="65"/>
      <c r="S108" s="65"/>
      <c r="T108" s="65"/>
      <c r="U108" s="65"/>
    </row>
    <row r="109" spans="1:21" s="35" customFormat="1" ht="37.5">
      <c r="A109" s="74">
        <v>98</v>
      </c>
      <c r="B109" s="16" t="s">
        <v>564</v>
      </c>
      <c r="C109" s="8" t="s">
        <v>168</v>
      </c>
      <c r="D109" s="8"/>
      <c r="E109" s="17">
        <v>148000</v>
      </c>
      <c r="F109" s="29"/>
      <c r="G109" s="8" t="s">
        <v>568</v>
      </c>
      <c r="H109" s="8"/>
      <c r="I109" s="8"/>
      <c r="J109" s="8"/>
      <c r="K109" s="8"/>
      <c r="L109" s="8" t="s">
        <v>125</v>
      </c>
      <c r="M109" s="29">
        <v>148000</v>
      </c>
      <c r="N109" s="29">
        <f t="shared" si="5"/>
        <v>0</v>
      </c>
      <c r="O109" s="76"/>
      <c r="P109" s="19"/>
      <c r="Q109" s="65"/>
      <c r="R109" s="65"/>
      <c r="S109" s="65"/>
      <c r="T109" s="65"/>
      <c r="U109" s="65"/>
    </row>
    <row r="110" spans="1:21">
      <c r="A110" s="25"/>
      <c r="B110" s="26"/>
      <c r="C110" s="25"/>
      <c r="D110" s="25"/>
      <c r="E110" s="27"/>
      <c r="F110" s="27"/>
      <c r="G110" s="25"/>
      <c r="H110" s="26"/>
      <c r="I110" s="26"/>
      <c r="J110" s="26"/>
      <c r="K110" s="26"/>
      <c r="L110" s="25"/>
      <c r="M110" s="27"/>
      <c r="N110" s="27"/>
      <c r="O110" s="276"/>
      <c r="P110" s="26"/>
    </row>
    <row r="111" spans="1:21" s="79" customFormat="1">
      <c r="A111" s="77"/>
      <c r="B111" s="77"/>
      <c r="C111" s="77" t="s">
        <v>399</v>
      </c>
      <c r="D111" s="77" t="s">
        <v>400</v>
      </c>
      <c r="E111" s="78"/>
      <c r="F111" s="78"/>
      <c r="G111" s="77"/>
      <c r="H111" s="77"/>
      <c r="I111" s="77"/>
      <c r="J111" s="77"/>
      <c r="K111" s="77"/>
      <c r="L111" s="77"/>
      <c r="M111" s="78"/>
      <c r="N111" s="78"/>
      <c r="O111" s="277"/>
      <c r="P111" s="77"/>
      <c r="Q111" s="77"/>
      <c r="R111" s="77"/>
      <c r="S111" s="77"/>
      <c r="T111" s="77"/>
      <c r="U111" s="77"/>
    </row>
    <row r="112" spans="1:21" s="79" customFormat="1">
      <c r="A112" s="77"/>
      <c r="B112" s="77"/>
      <c r="C112" s="77"/>
      <c r="D112" s="77" t="s">
        <v>401</v>
      </c>
      <c r="E112" s="78"/>
      <c r="F112" s="78"/>
      <c r="G112" s="77"/>
      <c r="H112" s="77"/>
      <c r="I112" s="77"/>
      <c r="J112" s="77"/>
      <c r="K112" s="77"/>
      <c r="L112" s="77"/>
      <c r="M112" s="78"/>
      <c r="N112" s="78"/>
      <c r="O112" s="277"/>
      <c r="P112" s="77"/>
      <c r="Q112" s="77"/>
      <c r="R112" s="77"/>
      <c r="S112" s="77"/>
      <c r="T112" s="77"/>
      <c r="U112" s="77"/>
    </row>
    <row r="113" spans="1:21" s="79" customFormat="1">
      <c r="A113" s="77"/>
      <c r="B113" s="77"/>
      <c r="C113" s="77"/>
      <c r="D113" s="77" t="s">
        <v>402</v>
      </c>
      <c r="E113" s="78"/>
      <c r="F113" s="78"/>
      <c r="G113" s="77"/>
      <c r="H113" s="77"/>
      <c r="I113" s="77"/>
      <c r="J113" s="77"/>
      <c r="K113" s="77"/>
      <c r="L113" s="77"/>
      <c r="M113" s="78"/>
      <c r="N113" s="78"/>
      <c r="O113" s="277"/>
      <c r="P113" s="77"/>
      <c r="Q113" s="77"/>
      <c r="R113" s="77"/>
      <c r="S113" s="77"/>
      <c r="T113" s="77"/>
      <c r="U113" s="77"/>
    </row>
    <row r="114" spans="1:21" s="79" customFormat="1">
      <c r="A114" s="77"/>
      <c r="B114" s="77"/>
      <c r="C114" s="77"/>
      <c r="D114" s="77" t="s">
        <v>403</v>
      </c>
      <c r="E114" s="78"/>
      <c r="F114" s="78"/>
      <c r="G114" s="77"/>
      <c r="H114" s="77"/>
      <c r="I114" s="77"/>
      <c r="J114" s="77"/>
      <c r="K114" s="77"/>
      <c r="L114" s="77"/>
      <c r="M114" s="78"/>
      <c r="N114" s="78"/>
      <c r="O114" s="277"/>
      <c r="P114" s="77"/>
      <c r="Q114" s="77"/>
      <c r="R114" s="77"/>
      <c r="S114" s="77"/>
      <c r="T114" s="77"/>
      <c r="U114" s="77"/>
    </row>
    <row r="115" spans="1:21" s="79" customFormat="1">
      <c r="A115" s="77"/>
      <c r="B115" s="77"/>
      <c r="C115" s="77"/>
      <c r="D115" s="77" t="s">
        <v>404</v>
      </c>
      <c r="E115" s="78"/>
      <c r="F115" s="78"/>
      <c r="G115" s="77"/>
      <c r="H115" s="77"/>
      <c r="I115" s="77"/>
      <c r="J115" s="77"/>
      <c r="K115" s="77"/>
      <c r="L115" s="77"/>
      <c r="M115" s="78"/>
      <c r="N115" s="78"/>
      <c r="O115" s="277"/>
      <c r="P115" s="77"/>
      <c r="Q115" s="77"/>
      <c r="R115" s="77"/>
      <c r="S115" s="77"/>
      <c r="T115" s="77"/>
      <c r="U115" s="77"/>
    </row>
    <row r="116" spans="1:21" s="79" customFormat="1">
      <c r="A116" s="77"/>
      <c r="B116" s="77"/>
      <c r="C116" s="77"/>
      <c r="D116" s="77" t="s">
        <v>405</v>
      </c>
      <c r="E116" s="78"/>
      <c r="F116" s="78"/>
      <c r="G116" s="77"/>
      <c r="H116" s="77"/>
      <c r="I116" s="77"/>
      <c r="J116" s="77"/>
      <c r="K116" s="77"/>
      <c r="L116" s="77"/>
      <c r="M116" s="78"/>
      <c r="N116" s="78"/>
      <c r="O116" s="277"/>
      <c r="P116" s="77"/>
      <c r="Q116" s="77"/>
      <c r="R116" s="77"/>
      <c r="S116" s="77"/>
      <c r="T116" s="77"/>
      <c r="U116" s="77"/>
    </row>
    <row r="117" spans="1:21">
      <c r="A117" s="25"/>
      <c r="B117" s="26"/>
      <c r="C117" s="25"/>
      <c r="D117" s="25"/>
      <c r="E117" s="27"/>
      <c r="F117" s="27"/>
      <c r="G117" s="25"/>
      <c r="H117" s="26"/>
      <c r="I117" s="26"/>
      <c r="J117" s="26"/>
      <c r="K117" s="26"/>
      <c r="L117" s="25"/>
      <c r="M117" s="27"/>
      <c r="N117" s="27"/>
      <c r="O117" s="276"/>
      <c r="P117" s="26"/>
    </row>
    <row r="118" spans="1:21">
      <c r="A118" s="25"/>
      <c r="B118" s="26"/>
      <c r="C118" s="25"/>
      <c r="D118" s="25"/>
      <c r="E118" s="27"/>
      <c r="F118" s="27"/>
      <c r="G118" s="25"/>
      <c r="H118" s="26"/>
      <c r="I118" s="26"/>
      <c r="J118" s="26"/>
      <c r="K118" s="26"/>
      <c r="L118" s="25"/>
      <c r="M118" s="27"/>
      <c r="N118" s="27"/>
      <c r="O118" s="276"/>
      <c r="P118" s="26"/>
    </row>
    <row r="119" spans="1:21">
      <c r="A119" s="25"/>
      <c r="B119" s="26"/>
      <c r="C119" s="25"/>
      <c r="D119" s="25"/>
      <c r="E119" s="27"/>
      <c r="F119" s="27"/>
      <c r="G119" s="25"/>
      <c r="H119" s="26"/>
      <c r="I119" s="26"/>
      <c r="J119" s="26"/>
      <c r="K119" s="26"/>
      <c r="L119" s="25"/>
      <c r="M119" s="27"/>
      <c r="N119" s="27"/>
      <c r="O119" s="276"/>
      <c r="P119" s="26"/>
    </row>
    <row r="120" spans="1:21" s="39" customFormat="1">
      <c r="A120" s="278"/>
      <c r="B120" s="89" t="s">
        <v>397</v>
      </c>
      <c r="C120" s="159"/>
      <c r="D120" s="89"/>
      <c r="E120" s="88"/>
      <c r="F120" s="88"/>
      <c r="I120" s="88"/>
      <c r="J120" s="333"/>
      <c r="K120" s="333"/>
      <c r="L120" s="333"/>
      <c r="M120" s="279" t="s">
        <v>396</v>
      </c>
      <c r="T120" s="41"/>
    </row>
    <row r="121" spans="1:21" s="39" customFormat="1">
      <c r="A121" s="278"/>
      <c r="B121" s="89" t="s">
        <v>73</v>
      </c>
      <c r="C121" s="159"/>
      <c r="D121" s="89"/>
      <c r="E121" s="88"/>
      <c r="F121" s="88"/>
      <c r="I121" s="88"/>
      <c r="J121" s="333"/>
      <c r="K121" s="333"/>
      <c r="L121" s="333"/>
      <c r="M121" s="279" t="s">
        <v>75</v>
      </c>
      <c r="T121" s="41"/>
    </row>
    <row r="122" spans="1:21" s="39" customFormat="1">
      <c r="A122" s="43"/>
      <c r="B122" s="89" t="s">
        <v>645</v>
      </c>
      <c r="C122" s="41"/>
      <c r="D122" s="89"/>
      <c r="J122" s="333"/>
      <c r="K122" s="333"/>
      <c r="L122" s="333"/>
      <c r="M122" s="279" t="s">
        <v>74</v>
      </c>
      <c r="S122" s="43"/>
      <c r="T122" s="41"/>
    </row>
    <row r="123" spans="1:21" s="43" customFormat="1">
      <c r="B123" s="89" t="s">
        <v>646</v>
      </c>
      <c r="G123" s="280"/>
    </row>
    <row r="124" spans="1:21">
      <c r="A124" s="25"/>
      <c r="B124" s="26"/>
      <c r="C124" s="25"/>
      <c r="D124" s="25"/>
      <c r="E124" s="27"/>
      <c r="F124" s="27"/>
      <c r="G124" s="25"/>
      <c r="H124" s="25"/>
      <c r="I124" s="25"/>
      <c r="J124" s="25"/>
      <c r="K124" s="25"/>
      <c r="L124" s="25"/>
      <c r="M124" s="27"/>
      <c r="N124" s="27"/>
      <c r="O124" s="276"/>
      <c r="P124" s="26"/>
    </row>
    <row r="125" spans="1:21">
      <c r="A125" s="25"/>
      <c r="B125" s="26"/>
      <c r="C125" s="25"/>
      <c r="D125" s="25"/>
      <c r="E125" s="27"/>
      <c r="F125" s="27"/>
      <c r="G125" s="25"/>
      <c r="H125" s="25"/>
      <c r="I125" s="25"/>
      <c r="J125" s="25"/>
      <c r="K125" s="25"/>
      <c r="L125" s="25"/>
      <c r="M125" s="27"/>
      <c r="N125" s="27"/>
      <c r="O125" s="276"/>
      <c r="P125" s="26"/>
    </row>
    <row r="126" spans="1:21">
      <c r="A126" s="25"/>
      <c r="B126" s="26"/>
      <c r="C126" s="25"/>
      <c r="D126" s="25"/>
      <c r="E126" s="27"/>
      <c r="F126" s="27"/>
      <c r="G126" s="25"/>
      <c r="H126" s="25"/>
      <c r="I126" s="25"/>
      <c r="J126" s="25"/>
      <c r="K126" s="25"/>
      <c r="L126" s="25"/>
      <c r="M126" s="27"/>
      <c r="N126" s="27"/>
      <c r="O126" s="276"/>
      <c r="P126" s="26"/>
    </row>
    <row r="127" spans="1:21">
      <c r="A127" s="25"/>
      <c r="B127" s="26"/>
      <c r="C127" s="25"/>
      <c r="D127" s="25"/>
      <c r="E127" s="27"/>
      <c r="F127" s="27"/>
      <c r="G127" s="25"/>
      <c r="H127" s="25"/>
      <c r="I127" s="25"/>
      <c r="J127" s="25"/>
      <c r="K127" s="25"/>
      <c r="L127" s="25"/>
      <c r="M127" s="27"/>
      <c r="N127" s="27"/>
      <c r="O127" s="276"/>
      <c r="P127" s="26"/>
    </row>
    <row r="128" spans="1:21">
      <c r="A128" s="25"/>
      <c r="B128" s="26"/>
      <c r="C128" s="25"/>
      <c r="D128" s="25"/>
      <c r="E128" s="27"/>
      <c r="F128" s="27"/>
      <c r="G128" s="25"/>
      <c r="H128" s="25"/>
      <c r="I128" s="25"/>
      <c r="J128" s="25"/>
      <c r="K128" s="25"/>
      <c r="L128" s="25"/>
      <c r="M128" s="27"/>
      <c r="N128" s="27"/>
      <c r="O128" s="276"/>
      <c r="P128" s="26"/>
    </row>
    <row r="129" spans="1:16">
      <c r="A129" s="25"/>
      <c r="B129" s="26"/>
      <c r="C129" s="25"/>
      <c r="D129" s="25"/>
      <c r="E129" s="27"/>
      <c r="F129" s="27"/>
      <c r="G129" s="25"/>
      <c r="H129" s="25"/>
      <c r="I129" s="25"/>
      <c r="J129" s="25"/>
      <c r="K129" s="25"/>
      <c r="L129" s="25"/>
      <c r="M129" s="27"/>
      <c r="N129" s="27"/>
      <c r="O129" s="276"/>
      <c r="P129" s="26"/>
    </row>
    <row r="130" spans="1:16">
      <c r="A130" s="25"/>
      <c r="B130" s="26"/>
      <c r="C130" s="25"/>
      <c r="D130" s="25"/>
      <c r="E130" s="27"/>
      <c r="F130" s="27"/>
      <c r="G130" s="25"/>
      <c r="H130" s="25"/>
      <c r="I130" s="25"/>
      <c r="J130" s="25"/>
      <c r="K130" s="25"/>
      <c r="L130" s="25"/>
      <c r="M130" s="27"/>
      <c r="N130" s="27"/>
      <c r="O130" s="276"/>
      <c r="P130" s="26"/>
    </row>
    <row r="131" spans="1:16">
      <c r="A131" s="25"/>
      <c r="B131" s="26"/>
      <c r="C131" s="25"/>
      <c r="D131" s="25"/>
      <c r="E131" s="27"/>
      <c r="F131" s="27"/>
      <c r="G131" s="25"/>
      <c r="H131" s="25"/>
      <c r="I131" s="25"/>
      <c r="J131" s="25"/>
      <c r="K131" s="25"/>
      <c r="L131" s="25"/>
      <c r="M131" s="27"/>
      <c r="N131" s="27"/>
      <c r="O131" s="276"/>
      <c r="P131" s="26"/>
    </row>
    <row r="132" spans="1:16">
      <c r="A132" s="25"/>
      <c r="B132" s="26"/>
      <c r="C132" s="25"/>
      <c r="D132" s="25"/>
      <c r="E132" s="27"/>
      <c r="F132" s="27"/>
      <c r="G132" s="25"/>
      <c r="H132" s="25"/>
      <c r="I132" s="25"/>
      <c r="J132" s="25"/>
      <c r="K132" s="25"/>
      <c r="L132" s="25"/>
      <c r="M132" s="27"/>
      <c r="N132" s="27"/>
      <c r="O132" s="276"/>
      <c r="P132" s="26"/>
    </row>
    <row r="133" spans="1:16">
      <c r="A133" s="25"/>
      <c r="B133" s="26"/>
      <c r="C133" s="25"/>
      <c r="D133" s="25"/>
      <c r="E133" s="27"/>
      <c r="F133" s="27"/>
      <c r="G133" s="25"/>
      <c r="H133" s="25"/>
      <c r="I133" s="25"/>
      <c r="J133" s="25"/>
      <c r="K133" s="25"/>
      <c r="L133" s="25"/>
      <c r="M133" s="27"/>
      <c r="N133" s="27"/>
      <c r="O133" s="276"/>
      <c r="P133" s="26"/>
    </row>
    <row r="134" spans="1:16">
      <c r="A134" s="25"/>
      <c r="B134" s="26"/>
      <c r="C134" s="25"/>
      <c r="D134" s="25"/>
      <c r="E134" s="27"/>
      <c r="F134" s="27"/>
      <c r="G134" s="25"/>
      <c r="H134" s="25"/>
      <c r="I134" s="25"/>
      <c r="J134" s="25"/>
      <c r="K134" s="25"/>
      <c r="L134" s="25"/>
      <c r="M134" s="27"/>
      <c r="N134" s="27"/>
      <c r="O134" s="276"/>
      <c r="P134" s="26"/>
    </row>
    <row r="135" spans="1:16">
      <c r="A135" s="25"/>
      <c r="B135" s="26"/>
      <c r="C135" s="25"/>
      <c r="D135" s="25"/>
      <c r="E135" s="27"/>
      <c r="F135" s="27"/>
      <c r="G135" s="25"/>
      <c r="H135" s="25"/>
      <c r="I135" s="25"/>
      <c r="J135" s="25"/>
      <c r="K135" s="25"/>
      <c r="L135" s="25"/>
      <c r="M135" s="27"/>
      <c r="N135" s="27"/>
      <c r="O135" s="276"/>
      <c r="P135" s="26"/>
    </row>
    <row r="174" spans="3:3">
      <c r="C174" s="25"/>
    </row>
  </sheetData>
  <mergeCells count="20">
    <mergeCell ref="A6:A7"/>
    <mergeCell ref="B6:B7"/>
    <mergeCell ref="C6:C7"/>
    <mergeCell ref="D6:D7"/>
    <mergeCell ref="O6:O7"/>
    <mergeCell ref="C3:L3"/>
    <mergeCell ref="N2:P2"/>
    <mergeCell ref="N3:P3"/>
    <mergeCell ref="C4:L4"/>
    <mergeCell ref="N4:P4"/>
    <mergeCell ref="J121:L121"/>
    <mergeCell ref="J122:L122"/>
    <mergeCell ref="N6:N7"/>
    <mergeCell ref="P6:P7"/>
    <mergeCell ref="E6:E7"/>
    <mergeCell ref="G6:G7"/>
    <mergeCell ref="H6:L6"/>
    <mergeCell ref="M6:M7"/>
    <mergeCell ref="J120:L120"/>
    <mergeCell ref="F6:F7"/>
  </mergeCells>
  <phoneticPr fontId="0" type="noConversion"/>
  <pageMargins left="0.55118110236220474" right="0.15748031496062992" top="0.43307086614173229" bottom="0.39370078740157483" header="0.31496062992125984" footer="0.23622047244094491"/>
  <pageSetup scale="79" orientation="landscape" r:id="rId1"/>
  <headerFooter alignWithMargins="0"/>
  <rowBreaks count="1" manualBreakCount="1">
    <brk id="98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174"/>
  <sheetViews>
    <sheetView view="pageBreakPreview" zoomScale="125" zoomScaleNormal="100" zoomScaleSheetLayoutView="125" workbookViewId="0">
      <selection sqref="A1:IV65536"/>
    </sheetView>
  </sheetViews>
  <sheetFormatPr defaultRowHeight="18.75"/>
  <cols>
    <col min="1" max="1" width="5" style="3" customWidth="1"/>
    <col min="2" max="2" width="28.42578125" style="3" customWidth="1"/>
    <col min="3" max="3" width="11.42578125" style="3" customWidth="1"/>
    <col min="4" max="4" width="8.28515625" style="3" customWidth="1"/>
    <col min="5" max="5" width="12.5703125" style="23" customWidth="1"/>
    <col min="6" max="6" width="14.42578125" style="23" customWidth="1"/>
    <col min="7" max="7" width="13.42578125" style="3" customWidth="1"/>
    <col min="8" max="12" width="2.7109375" style="3" customWidth="1"/>
    <col min="13" max="13" width="15.85546875" style="23" customWidth="1"/>
    <col min="14" max="14" width="17" style="23" bestFit="1" customWidth="1"/>
    <col min="15" max="15" width="16.5703125" style="273" customWidth="1"/>
    <col min="16" max="16" width="7.140625" style="3" customWidth="1"/>
    <col min="17" max="21" width="9.140625" style="26"/>
    <col min="22" max="16384" width="9.140625" style="3"/>
  </cols>
  <sheetData>
    <row r="1" spans="1:21" ht="37.5">
      <c r="P1" s="3" t="s">
        <v>112</v>
      </c>
    </row>
    <row r="2" spans="1:21" s="35" customFormat="1" ht="21.75" customHeight="1">
      <c r="C2" s="64" t="s">
        <v>518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41" t="s">
        <v>157</v>
      </c>
      <c r="O2" s="342"/>
      <c r="P2" s="342"/>
      <c r="Q2" s="65"/>
      <c r="R2" s="65"/>
      <c r="S2" s="65"/>
      <c r="T2" s="65"/>
      <c r="U2" s="65"/>
    </row>
    <row r="3" spans="1:21" s="35" customFormat="1" ht="21.75" customHeight="1">
      <c r="C3" s="315" t="s">
        <v>159</v>
      </c>
      <c r="D3" s="320"/>
      <c r="E3" s="320"/>
      <c r="F3" s="320"/>
      <c r="G3" s="320"/>
      <c r="H3" s="320"/>
      <c r="I3" s="320"/>
      <c r="J3" s="320"/>
      <c r="K3" s="320"/>
      <c r="L3" s="320"/>
      <c r="M3" s="31"/>
      <c r="N3" s="341" t="s">
        <v>229</v>
      </c>
      <c r="O3" s="342"/>
      <c r="P3" s="342"/>
      <c r="Q3" s="65"/>
      <c r="R3" s="65"/>
      <c r="S3" s="65"/>
      <c r="T3" s="65"/>
      <c r="U3" s="65"/>
    </row>
    <row r="4" spans="1:21" s="35" customFormat="1" ht="21.75" customHeight="1">
      <c r="C4" s="343" t="s">
        <v>643</v>
      </c>
      <c r="D4" s="322"/>
      <c r="E4" s="322"/>
      <c r="F4" s="322"/>
      <c r="G4" s="322"/>
      <c r="H4" s="322"/>
      <c r="I4" s="322"/>
      <c r="J4" s="322"/>
      <c r="K4" s="322"/>
      <c r="L4" s="322"/>
      <c r="M4" s="31"/>
      <c r="N4" s="341" t="s">
        <v>115</v>
      </c>
      <c r="O4" s="342"/>
      <c r="P4" s="342"/>
      <c r="Q4" s="65"/>
      <c r="R4" s="65"/>
      <c r="S4" s="65"/>
      <c r="T4" s="65"/>
      <c r="U4" s="65"/>
    </row>
    <row r="5" spans="1:21" s="35" customFormat="1" ht="12.75" customHeight="1">
      <c r="E5" s="66"/>
      <c r="F5" s="66"/>
      <c r="M5" s="66"/>
      <c r="N5" s="66"/>
      <c r="O5" s="274"/>
      <c r="Q5" s="65"/>
      <c r="R5" s="65"/>
      <c r="S5" s="65"/>
      <c r="T5" s="65"/>
      <c r="U5" s="65"/>
    </row>
    <row r="6" spans="1:21" s="35" customFormat="1" ht="18.75" customHeight="1">
      <c r="A6" s="332" t="s">
        <v>185</v>
      </c>
      <c r="B6" s="332" t="s">
        <v>117</v>
      </c>
      <c r="C6" s="332" t="s">
        <v>118</v>
      </c>
      <c r="D6" s="332" t="s">
        <v>119</v>
      </c>
      <c r="E6" s="337" t="s">
        <v>87</v>
      </c>
      <c r="F6" s="332" t="s">
        <v>395</v>
      </c>
      <c r="G6" s="332" t="s">
        <v>120</v>
      </c>
      <c r="H6" s="340" t="s">
        <v>121</v>
      </c>
      <c r="I6" s="340"/>
      <c r="J6" s="340"/>
      <c r="K6" s="340"/>
      <c r="L6" s="340"/>
      <c r="M6" s="337" t="s">
        <v>122</v>
      </c>
      <c r="N6" s="337" t="s">
        <v>123</v>
      </c>
      <c r="O6" s="344" t="s">
        <v>124</v>
      </c>
      <c r="P6" s="332" t="s">
        <v>91</v>
      </c>
      <c r="Q6" s="65"/>
      <c r="R6" s="65"/>
      <c r="S6" s="65"/>
      <c r="T6" s="65"/>
      <c r="U6" s="65"/>
    </row>
    <row r="7" spans="1:21" s="35" customFormat="1">
      <c r="A7" s="314"/>
      <c r="B7" s="339"/>
      <c r="C7" s="314"/>
      <c r="D7" s="339"/>
      <c r="E7" s="339"/>
      <c r="F7" s="314"/>
      <c r="G7" s="314"/>
      <c r="H7" s="67">
        <v>1</v>
      </c>
      <c r="I7" s="67">
        <v>2</v>
      </c>
      <c r="J7" s="67">
        <v>3</v>
      </c>
      <c r="K7" s="67">
        <v>4</v>
      </c>
      <c r="L7" s="68">
        <v>5</v>
      </c>
      <c r="M7" s="314"/>
      <c r="N7" s="338"/>
      <c r="O7" s="345"/>
      <c r="P7" s="339"/>
      <c r="Q7" s="65"/>
      <c r="R7" s="65"/>
      <c r="S7" s="65"/>
      <c r="T7" s="65"/>
      <c r="U7" s="65"/>
    </row>
    <row r="8" spans="1:21" s="35" customFormat="1">
      <c r="A8" s="8"/>
      <c r="B8" s="75" t="s">
        <v>110</v>
      </c>
      <c r="C8" s="8"/>
      <c r="D8" s="19"/>
      <c r="E8" s="19"/>
      <c r="F8" s="8"/>
      <c r="G8" s="8"/>
      <c r="H8" s="67"/>
      <c r="I8" s="67"/>
      <c r="J8" s="67"/>
      <c r="K8" s="67"/>
      <c r="L8" s="68"/>
      <c r="M8" s="8"/>
      <c r="N8" s="275"/>
      <c r="O8" s="76"/>
      <c r="P8" s="19"/>
      <c r="Q8" s="65"/>
      <c r="R8" s="65"/>
      <c r="S8" s="65"/>
      <c r="T8" s="65"/>
      <c r="U8" s="65"/>
    </row>
    <row r="9" spans="1:21" s="35" customFormat="1">
      <c r="A9" s="74">
        <v>1</v>
      </c>
      <c r="B9" s="11" t="s">
        <v>227</v>
      </c>
      <c r="C9" s="8" t="s">
        <v>110</v>
      </c>
      <c r="D9" s="8"/>
      <c r="E9" s="12">
        <v>200000</v>
      </c>
      <c r="F9" s="29">
        <f>200000-18050</f>
        <v>181950</v>
      </c>
      <c r="G9" s="8" t="s">
        <v>424</v>
      </c>
      <c r="H9" s="8"/>
      <c r="I9" s="8"/>
      <c r="J9" s="8"/>
      <c r="K9" s="8"/>
      <c r="L9" s="8" t="s">
        <v>125</v>
      </c>
      <c r="M9" s="29">
        <f>+รายการ!N3</f>
        <v>132700</v>
      </c>
      <c r="N9" s="29">
        <f>F9-M9</f>
        <v>49250</v>
      </c>
      <c r="O9" s="76"/>
      <c r="P9" s="19"/>
      <c r="Q9" s="65"/>
      <c r="R9" s="65"/>
      <c r="S9" s="65"/>
      <c r="T9" s="65"/>
      <c r="U9" s="65"/>
    </row>
    <row r="10" spans="1:21" s="35" customFormat="1" ht="47.25">
      <c r="A10" s="74">
        <v>2</v>
      </c>
      <c r="B10" s="11" t="s">
        <v>82</v>
      </c>
      <c r="C10" s="8" t="s">
        <v>110</v>
      </c>
      <c r="D10" s="8"/>
      <c r="E10" s="12">
        <v>500000</v>
      </c>
      <c r="F10" s="29">
        <f>+E10-500000</f>
        <v>0</v>
      </c>
      <c r="G10" s="8" t="s">
        <v>424</v>
      </c>
      <c r="H10" s="8"/>
      <c r="I10" s="8"/>
      <c r="J10" s="8"/>
      <c r="K10" s="8"/>
      <c r="L10" s="8"/>
      <c r="M10" s="29"/>
      <c r="N10" s="29">
        <f>+F10</f>
        <v>0</v>
      </c>
      <c r="O10" s="76"/>
      <c r="P10" s="14" t="s">
        <v>398</v>
      </c>
      <c r="Q10" s="65"/>
      <c r="R10" s="65"/>
      <c r="S10" s="65"/>
      <c r="T10" s="65"/>
      <c r="U10" s="65"/>
    </row>
    <row r="11" spans="1:21" s="35" customFormat="1" ht="47.25">
      <c r="A11" s="74">
        <v>3</v>
      </c>
      <c r="B11" s="11" t="s">
        <v>523</v>
      </c>
      <c r="C11" s="8" t="s">
        <v>110</v>
      </c>
      <c r="D11" s="8"/>
      <c r="E11" s="12">
        <v>100000</v>
      </c>
      <c r="F11" s="29">
        <v>0</v>
      </c>
      <c r="G11" s="8" t="s">
        <v>424</v>
      </c>
      <c r="H11" s="8"/>
      <c r="I11" s="8"/>
      <c r="J11" s="8"/>
      <c r="K11" s="8"/>
      <c r="L11" s="8"/>
      <c r="M11" s="29"/>
      <c r="N11" s="29">
        <f>+F11</f>
        <v>0</v>
      </c>
      <c r="O11" s="76"/>
      <c r="P11" s="14" t="s">
        <v>398</v>
      </c>
      <c r="Q11" s="65"/>
      <c r="R11" s="65"/>
      <c r="S11" s="65"/>
      <c r="T11" s="65"/>
      <c r="U11" s="65"/>
    </row>
    <row r="12" spans="1:21" s="35" customFormat="1">
      <c r="A12" s="74">
        <v>4</v>
      </c>
      <c r="B12" s="11" t="s">
        <v>97</v>
      </c>
      <c r="C12" s="8" t="s">
        <v>110</v>
      </c>
      <c r="D12" s="8"/>
      <c r="E12" s="12">
        <v>50000</v>
      </c>
      <c r="F12" s="29"/>
      <c r="G12" s="8" t="s">
        <v>424</v>
      </c>
      <c r="H12" s="8"/>
      <c r="I12" s="8"/>
      <c r="J12" s="8"/>
      <c r="K12" s="8"/>
      <c r="L12" s="8" t="s">
        <v>125</v>
      </c>
      <c r="M12" s="29">
        <f>+รายการ!N6</f>
        <v>37952</v>
      </c>
      <c r="N12" s="29">
        <f>E12-M12</f>
        <v>12048</v>
      </c>
      <c r="O12" s="76"/>
      <c r="P12" s="19"/>
      <c r="Q12" s="65"/>
      <c r="R12" s="65"/>
      <c r="S12" s="65"/>
      <c r="T12" s="65"/>
      <c r="U12" s="65"/>
    </row>
    <row r="13" spans="1:21" s="35" customFormat="1">
      <c r="A13" s="74">
        <v>5</v>
      </c>
      <c r="B13" s="16" t="s">
        <v>427</v>
      </c>
      <c r="C13" s="8" t="s">
        <v>110</v>
      </c>
      <c r="D13" s="8"/>
      <c r="E13" s="17">
        <v>130000</v>
      </c>
      <c r="F13" s="29">
        <f>130000-10000</f>
        <v>120000</v>
      </c>
      <c r="G13" s="15" t="s">
        <v>424</v>
      </c>
      <c r="H13" s="8"/>
      <c r="I13" s="8"/>
      <c r="J13" s="8"/>
      <c r="K13" s="8"/>
      <c r="L13" s="8" t="s">
        <v>125</v>
      </c>
      <c r="M13" s="29">
        <v>120000</v>
      </c>
      <c r="N13" s="29">
        <f t="shared" ref="N13:N18" si="0">F13-M13</f>
        <v>0</v>
      </c>
      <c r="O13" s="76"/>
      <c r="P13" s="19"/>
      <c r="Q13" s="65"/>
      <c r="R13" s="65"/>
      <c r="S13" s="65"/>
      <c r="T13" s="65"/>
      <c r="U13" s="65"/>
    </row>
    <row r="14" spans="1:21" s="35" customFormat="1" ht="37.5">
      <c r="A14" s="74">
        <v>6</v>
      </c>
      <c r="B14" s="16" t="s">
        <v>428</v>
      </c>
      <c r="C14" s="8" t="s">
        <v>110</v>
      </c>
      <c r="D14" s="8"/>
      <c r="E14" s="17">
        <v>99000</v>
      </c>
      <c r="F14" s="29">
        <f>99000-9000</f>
        <v>90000</v>
      </c>
      <c r="G14" s="15" t="s">
        <v>424</v>
      </c>
      <c r="H14" s="8"/>
      <c r="I14" s="8"/>
      <c r="J14" s="8"/>
      <c r="K14" s="8"/>
      <c r="L14" s="8" t="s">
        <v>125</v>
      </c>
      <c r="M14" s="29">
        <v>90000</v>
      </c>
      <c r="N14" s="29">
        <f t="shared" si="0"/>
        <v>0</v>
      </c>
      <c r="O14" s="76"/>
      <c r="P14" s="19"/>
      <c r="Q14" s="65"/>
      <c r="R14" s="65"/>
      <c r="S14" s="65"/>
      <c r="T14" s="65"/>
      <c r="U14" s="65"/>
    </row>
    <row r="15" spans="1:21" s="35" customFormat="1">
      <c r="A15" s="74">
        <v>7</v>
      </c>
      <c r="B15" s="16" t="s">
        <v>372</v>
      </c>
      <c r="C15" s="8" t="s">
        <v>110</v>
      </c>
      <c r="D15" s="8"/>
      <c r="E15" s="17">
        <v>40000</v>
      </c>
      <c r="F15" s="29">
        <f>40000-6600</f>
        <v>33400</v>
      </c>
      <c r="G15" s="15" t="s">
        <v>424</v>
      </c>
      <c r="H15" s="8"/>
      <c r="I15" s="8"/>
      <c r="J15" s="8"/>
      <c r="K15" s="8"/>
      <c r="L15" s="8" t="s">
        <v>125</v>
      </c>
      <c r="M15" s="29">
        <v>33400</v>
      </c>
      <c r="N15" s="29">
        <f t="shared" si="0"/>
        <v>0</v>
      </c>
      <c r="O15" s="76"/>
      <c r="P15" s="19"/>
      <c r="Q15" s="65"/>
      <c r="R15" s="65"/>
      <c r="S15" s="65"/>
      <c r="T15" s="65"/>
      <c r="U15" s="65"/>
    </row>
    <row r="16" spans="1:21" s="35" customFormat="1">
      <c r="A16" s="74">
        <v>8</v>
      </c>
      <c r="B16" s="16" t="s">
        <v>429</v>
      </c>
      <c r="C16" s="8" t="s">
        <v>110</v>
      </c>
      <c r="D16" s="8"/>
      <c r="E16" s="17">
        <v>20000</v>
      </c>
      <c r="F16" s="29">
        <f>20000-10</f>
        <v>19990</v>
      </c>
      <c r="G16" s="15" t="s">
        <v>424</v>
      </c>
      <c r="H16" s="8"/>
      <c r="I16" s="8"/>
      <c r="J16" s="8"/>
      <c r="K16" s="8"/>
      <c r="L16" s="8" t="s">
        <v>125</v>
      </c>
      <c r="M16" s="29">
        <v>19990</v>
      </c>
      <c r="N16" s="29">
        <f t="shared" si="0"/>
        <v>0</v>
      </c>
      <c r="O16" s="76"/>
      <c r="P16" s="19"/>
      <c r="Q16" s="65"/>
      <c r="R16" s="65"/>
      <c r="S16" s="65"/>
      <c r="T16" s="65"/>
      <c r="U16" s="65"/>
    </row>
    <row r="17" spans="1:21" s="35" customFormat="1" ht="37.5">
      <c r="A17" s="74">
        <v>9</v>
      </c>
      <c r="B17" s="16" t="s">
        <v>436</v>
      </c>
      <c r="C17" s="8" t="s">
        <v>110</v>
      </c>
      <c r="D17" s="8"/>
      <c r="E17" s="17">
        <v>48000</v>
      </c>
      <c r="F17" s="29">
        <f>48000-1200</f>
        <v>46800</v>
      </c>
      <c r="G17" s="15" t="s">
        <v>424</v>
      </c>
      <c r="H17" s="8"/>
      <c r="I17" s="8"/>
      <c r="J17" s="8"/>
      <c r="K17" s="8"/>
      <c r="L17" s="8" t="s">
        <v>125</v>
      </c>
      <c r="M17" s="29">
        <v>46800</v>
      </c>
      <c r="N17" s="29">
        <f t="shared" si="0"/>
        <v>0</v>
      </c>
      <c r="O17" s="76"/>
      <c r="P17" s="19"/>
      <c r="Q17" s="65"/>
      <c r="R17" s="65"/>
      <c r="S17" s="65"/>
      <c r="T17" s="65"/>
      <c r="U17" s="65"/>
    </row>
    <row r="18" spans="1:21" s="35" customFormat="1" ht="37.5">
      <c r="A18" s="74">
        <v>10</v>
      </c>
      <c r="B18" s="16" t="s">
        <v>524</v>
      </c>
      <c r="C18" s="8" t="s">
        <v>110</v>
      </c>
      <c r="D18" s="8"/>
      <c r="E18" s="17">
        <v>9600</v>
      </c>
      <c r="F18" s="29">
        <f>9600-3000</f>
        <v>6600</v>
      </c>
      <c r="G18" s="15" t="s">
        <v>424</v>
      </c>
      <c r="H18" s="8"/>
      <c r="I18" s="8"/>
      <c r="J18" s="8"/>
      <c r="K18" s="8"/>
      <c r="L18" s="8" t="s">
        <v>125</v>
      </c>
      <c r="M18" s="29">
        <v>6600</v>
      </c>
      <c r="N18" s="29">
        <f t="shared" si="0"/>
        <v>0</v>
      </c>
      <c r="O18" s="76"/>
      <c r="P18" s="19"/>
      <c r="Q18" s="65"/>
      <c r="R18" s="65"/>
      <c r="S18" s="65"/>
      <c r="T18" s="65"/>
      <c r="U18" s="65"/>
    </row>
    <row r="19" spans="1:21" s="35" customFormat="1" ht="47.25">
      <c r="A19" s="74">
        <v>11</v>
      </c>
      <c r="B19" s="16" t="s">
        <v>358</v>
      </c>
      <c r="C19" s="8" t="s">
        <v>110</v>
      </c>
      <c r="D19" s="8"/>
      <c r="E19" s="17">
        <v>50000</v>
      </c>
      <c r="F19" s="29">
        <f>50000-50000</f>
        <v>0</v>
      </c>
      <c r="G19" s="15" t="s">
        <v>424</v>
      </c>
      <c r="H19" s="8"/>
      <c r="I19" s="8"/>
      <c r="J19" s="8"/>
      <c r="K19" s="8"/>
      <c r="L19" s="8"/>
      <c r="M19" s="29"/>
      <c r="N19" s="29">
        <f>+F19</f>
        <v>0</v>
      </c>
      <c r="O19" s="76"/>
      <c r="P19" s="14" t="s">
        <v>398</v>
      </c>
      <c r="Q19" s="65"/>
      <c r="R19" s="65"/>
      <c r="S19" s="65"/>
      <c r="T19" s="65"/>
      <c r="U19" s="65"/>
    </row>
    <row r="20" spans="1:21" s="35" customFormat="1" ht="93.75">
      <c r="A20" s="74">
        <v>12</v>
      </c>
      <c r="B20" s="16" t="s">
        <v>360</v>
      </c>
      <c r="C20" s="8" t="s">
        <v>110</v>
      </c>
      <c r="D20" s="8"/>
      <c r="E20" s="17">
        <v>20000</v>
      </c>
      <c r="F20" s="29">
        <f>20000-20000</f>
        <v>0</v>
      </c>
      <c r="G20" s="8" t="s">
        <v>424</v>
      </c>
      <c r="H20" s="8"/>
      <c r="I20" s="8"/>
      <c r="J20" s="8"/>
      <c r="K20" s="8"/>
      <c r="L20" s="8"/>
      <c r="M20" s="29"/>
      <c r="N20" s="29">
        <f>+F20</f>
        <v>0</v>
      </c>
      <c r="O20" s="76"/>
      <c r="P20" s="14" t="s">
        <v>398</v>
      </c>
      <c r="Q20" s="65"/>
      <c r="R20" s="65"/>
      <c r="S20" s="65"/>
      <c r="T20" s="65"/>
      <c r="U20" s="65"/>
    </row>
    <row r="21" spans="1:21" s="35" customFormat="1" ht="37.5">
      <c r="A21" s="74">
        <v>13</v>
      </c>
      <c r="B21" s="16" t="s">
        <v>337</v>
      </c>
      <c r="C21" s="8" t="s">
        <v>110</v>
      </c>
      <c r="D21" s="8"/>
      <c r="E21" s="17">
        <v>10000</v>
      </c>
      <c r="F21" s="29">
        <f>10000+80000</f>
        <v>90000</v>
      </c>
      <c r="G21" s="15" t="s">
        <v>424</v>
      </c>
      <c r="H21" s="8"/>
      <c r="I21" s="8"/>
      <c r="J21" s="8"/>
      <c r="K21" s="8"/>
      <c r="L21" s="8" t="s">
        <v>125</v>
      </c>
      <c r="M21" s="29">
        <f>+รายการ!N15</f>
        <v>3750</v>
      </c>
      <c r="N21" s="29">
        <f>F21-M21</f>
        <v>86250</v>
      </c>
      <c r="O21" s="76"/>
      <c r="P21" s="19"/>
      <c r="Q21" s="65"/>
      <c r="R21" s="65"/>
      <c r="S21" s="65"/>
      <c r="T21" s="65"/>
      <c r="U21" s="65"/>
    </row>
    <row r="22" spans="1:21" s="35" customFormat="1" ht="37.5">
      <c r="A22" s="74">
        <v>14</v>
      </c>
      <c r="B22" s="16" t="s">
        <v>529</v>
      </c>
      <c r="C22" s="8" t="s">
        <v>110</v>
      </c>
      <c r="D22" s="8"/>
      <c r="E22" s="17">
        <v>35000</v>
      </c>
      <c r="F22" s="29">
        <f>35000-10110</f>
        <v>24890</v>
      </c>
      <c r="G22" s="15" t="s">
        <v>424</v>
      </c>
      <c r="H22" s="8"/>
      <c r="I22" s="8"/>
      <c r="J22" s="8"/>
      <c r="K22" s="8"/>
      <c r="L22" s="8"/>
      <c r="M22" s="29">
        <f>+รายการ!N16</f>
        <v>0</v>
      </c>
      <c r="N22" s="29">
        <f t="shared" ref="N22:N30" si="1">E22-M22</f>
        <v>35000</v>
      </c>
      <c r="O22" s="76"/>
      <c r="P22" s="19"/>
      <c r="Q22" s="65"/>
      <c r="R22" s="65"/>
      <c r="S22" s="65"/>
      <c r="T22" s="65"/>
      <c r="U22" s="65"/>
    </row>
    <row r="23" spans="1:21" s="35" customFormat="1" ht="47.25">
      <c r="A23" s="74">
        <v>15</v>
      </c>
      <c r="B23" s="16" t="s">
        <v>530</v>
      </c>
      <c r="C23" s="8" t="s">
        <v>110</v>
      </c>
      <c r="D23" s="8"/>
      <c r="E23" s="17">
        <v>50000</v>
      </c>
      <c r="F23" s="29">
        <f>50000-50000</f>
        <v>0</v>
      </c>
      <c r="G23" s="15" t="s">
        <v>424</v>
      </c>
      <c r="H23" s="8"/>
      <c r="I23" s="8"/>
      <c r="J23" s="8"/>
      <c r="K23" s="8"/>
      <c r="L23" s="8"/>
      <c r="M23" s="29">
        <f>+รายการ!H17</f>
        <v>0</v>
      </c>
      <c r="N23" s="29">
        <f>F23-M23</f>
        <v>0</v>
      </c>
      <c r="O23" s="76"/>
      <c r="P23" s="14" t="s">
        <v>398</v>
      </c>
      <c r="Q23" s="65"/>
      <c r="R23" s="65"/>
      <c r="S23" s="65"/>
      <c r="T23" s="65"/>
      <c r="U23" s="65"/>
    </row>
    <row r="24" spans="1:21" s="35" customFormat="1" ht="56.25">
      <c r="A24" s="74">
        <v>16</v>
      </c>
      <c r="B24" s="16" t="s">
        <v>441</v>
      </c>
      <c r="C24" s="8" t="s">
        <v>110</v>
      </c>
      <c r="D24" s="8"/>
      <c r="E24" s="17">
        <v>15000</v>
      </c>
      <c r="F24" s="29"/>
      <c r="G24" s="15" t="s">
        <v>424</v>
      </c>
      <c r="H24" s="8"/>
      <c r="I24" s="8"/>
      <c r="J24" s="8"/>
      <c r="K24" s="8"/>
      <c r="L24" s="8" t="s">
        <v>125</v>
      </c>
      <c r="M24" s="29">
        <f>+รายการ!I18</f>
        <v>15000</v>
      </c>
      <c r="N24" s="29">
        <f t="shared" si="1"/>
        <v>0</v>
      </c>
      <c r="O24" s="76"/>
      <c r="P24" s="19"/>
      <c r="Q24" s="65"/>
      <c r="R24" s="65"/>
      <c r="S24" s="65"/>
      <c r="T24" s="65"/>
      <c r="U24" s="65"/>
    </row>
    <row r="25" spans="1:21" s="35" customFormat="1" ht="56.25">
      <c r="A25" s="74">
        <v>17</v>
      </c>
      <c r="B25" s="16" t="s">
        <v>442</v>
      </c>
      <c r="C25" s="8" t="s">
        <v>110</v>
      </c>
      <c r="D25" s="8"/>
      <c r="E25" s="17">
        <v>30000</v>
      </c>
      <c r="F25" s="29">
        <f>30000-30000</f>
        <v>0</v>
      </c>
      <c r="G25" s="15" t="s">
        <v>424</v>
      </c>
      <c r="H25" s="8"/>
      <c r="I25" s="8"/>
      <c r="J25" s="8"/>
      <c r="K25" s="8"/>
      <c r="L25" s="8"/>
      <c r="M25" s="29">
        <f>+F25</f>
        <v>0</v>
      </c>
      <c r="N25" s="29">
        <f>F25-M25</f>
        <v>0</v>
      </c>
      <c r="O25" s="76"/>
      <c r="P25" s="14" t="s">
        <v>398</v>
      </c>
      <c r="Q25" s="65"/>
      <c r="R25" s="65"/>
      <c r="S25" s="65"/>
      <c r="T25" s="65"/>
      <c r="U25" s="65"/>
    </row>
    <row r="26" spans="1:21" s="35" customFormat="1" ht="37.5">
      <c r="A26" s="74">
        <v>18</v>
      </c>
      <c r="B26" s="16" t="s">
        <v>531</v>
      </c>
      <c r="C26" s="8" t="s">
        <v>110</v>
      </c>
      <c r="D26" s="8"/>
      <c r="E26" s="17">
        <v>95000</v>
      </c>
      <c r="F26" s="29">
        <f>95000-76300</f>
        <v>18700</v>
      </c>
      <c r="G26" s="15" t="s">
        <v>424</v>
      </c>
      <c r="H26" s="8"/>
      <c r="I26" s="8"/>
      <c r="J26" s="8"/>
      <c r="K26" s="8"/>
      <c r="L26" s="8" t="s">
        <v>125</v>
      </c>
      <c r="M26" s="29">
        <f>+รายการ!N20</f>
        <v>18700</v>
      </c>
      <c r="N26" s="29">
        <f>F26-M26</f>
        <v>0</v>
      </c>
      <c r="O26" s="76"/>
      <c r="P26" s="19"/>
      <c r="Q26" s="65"/>
      <c r="R26" s="65"/>
      <c r="S26" s="65"/>
      <c r="T26" s="65"/>
      <c r="U26" s="65"/>
    </row>
    <row r="27" spans="1:21" s="35" customFormat="1" ht="47.25">
      <c r="A27" s="74">
        <v>19</v>
      </c>
      <c r="B27" s="16" t="s">
        <v>489</v>
      </c>
      <c r="C27" s="8" t="s">
        <v>110</v>
      </c>
      <c r="D27" s="8"/>
      <c r="E27" s="17">
        <v>20000</v>
      </c>
      <c r="F27" s="29">
        <f>20000-20000</f>
        <v>0</v>
      </c>
      <c r="G27" s="15" t="s">
        <v>424</v>
      </c>
      <c r="H27" s="8"/>
      <c r="I27" s="8"/>
      <c r="J27" s="8"/>
      <c r="K27" s="8"/>
      <c r="L27" s="8"/>
      <c r="M27" s="29">
        <f>+รายการ!I21</f>
        <v>0</v>
      </c>
      <c r="N27" s="29">
        <f>F27-M27</f>
        <v>0</v>
      </c>
      <c r="O27" s="76"/>
      <c r="P27" s="14" t="s">
        <v>398</v>
      </c>
      <c r="Q27" s="65"/>
      <c r="R27" s="65"/>
      <c r="S27" s="65"/>
      <c r="T27" s="65"/>
      <c r="U27" s="65"/>
    </row>
    <row r="28" spans="1:21" s="35" customFormat="1" ht="37.5">
      <c r="A28" s="74">
        <v>20</v>
      </c>
      <c r="B28" s="16" t="s">
        <v>445</v>
      </c>
      <c r="C28" s="8" t="s">
        <v>110</v>
      </c>
      <c r="D28" s="8"/>
      <c r="E28" s="17">
        <v>17000</v>
      </c>
      <c r="F28" s="29"/>
      <c r="G28" s="15" t="s">
        <v>424</v>
      </c>
      <c r="H28" s="8"/>
      <c r="I28" s="8"/>
      <c r="J28" s="8"/>
      <c r="K28" s="8"/>
      <c r="L28" s="8" t="s">
        <v>125</v>
      </c>
      <c r="M28" s="29">
        <f>+รายการ!N22</f>
        <v>16799</v>
      </c>
      <c r="N28" s="29">
        <f t="shared" si="1"/>
        <v>201</v>
      </c>
      <c r="O28" s="76"/>
      <c r="P28" s="19"/>
      <c r="Q28" s="65"/>
      <c r="R28" s="65"/>
      <c r="S28" s="65"/>
      <c r="T28" s="65"/>
      <c r="U28" s="65"/>
    </row>
    <row r="29" spans="1:21" s="35" customFormat="1" ht="37.5">
      <c r="A29" s="74">
        <v>21</v>
      </c>
      <c r="B29" s="16" t="s">
        <v>532</v>
      </c>
      <c r="C29" s="8" t="s">
        <v>110</v>
      </c>
      <c r="D29" s="8"/>
      <c r="E29" s="17">
        <v>60000</v>
      </c>
      <c r="F29" s="29"/>
      <c r="G29" s="15" t="s">
        <v>424</v>
      </c>
      <c r="H29" s="8"/>
      <c r="I29" s="8"/>
      <c r="J29" s="8"/>
      <c r="K29" s="8"/>
      <c r="L29" s="8" t="s">
        <v>125</v>
      </c>
      <c r="M29" s="29">
        <v>60000</v>
      </c>
      <c r="N29" s="29">
        <f t="shared" si="1"/>
        <v>0</v>
      </c>
      <c r="O29" s="76"/>
      <c r="P29" s="19"/>
      <c r="Q29" s="65"/>
      <c r="R29" s="65"/>
      <c r="S29" s="65"/>
      <c r="T29" s="65"/>
      <c r="U29" s="65"/>
    </row>
    <row r="30" spans="1:21" s="35" customFormat="1" ht="37.5">
      <c r="A30" s="74">
        <v>22</v>
      </c>
      <c r="B30" s="16" t="s">
        <v>533</v>
      </c>
      <c r="C30" s="8" t="s">
        <v>110</v>
      </c>
      <c r="D30" s="8"/>
      <c r="E30" s="17">
        <v>30000</v>
      </c>
      <c r="F30" s="29"/>
      <c r="G30" s="15" t="s">
        <v>424</v>
      </c>
      <c r="H30" s="8"/>
      <c r="I30" s="8"/>
      <c r="J30" s="8"/>
      <c r="K30" s="8"/>
      <c r="L30" s="8" t="s">
        <v>125</v>
      </c>
      <c r="M30" s="29">
        <v>30000</v>
      </c>
      <c r="N30" s="29">
        <f t="shared" si="1"/>
        <v>0</v>
      </c>
      <c r="O30" s="76"/>
      <c r="P30" s="19"/>
      <c r="Q30" s="65"/>
      <c r="R30" s="65"/>
      <c r="S30" s="65"/>
      <c r="T30" s="65"/>
      <c r="U30" s="65"/>
    </row>
    <row r="31" spans="1:21" s="35" customFormat="1" ht="56.25">
      <c r="A31" s="74">
        <v>23</v>
      </c>
      <c r="B31" s="16" t="s">
        <v>540</v>
      </c>
      <c r="C31" s="8" t="s">
        <v>110</v>
      </c>
      <c r="D31" s="8"/>
      <c r="E31" s="17">
        <v>150000</v>
      </c>
      <c r="F31" s="29">
        <f>150000-75000+30489.9</f>
        <v>105489.9</v>
      </c>
      <c r="G31" s="15" t="s">
        <v>424</v>
      </c>
      <c r="H31" s="8"/>
      <c r="I31" s="8"/>
      <c r="J31" s="8"/>
      <c r="K31" s="8"/>
      <c r="L31" s="8" t="s">
        <v>125</v>
      </c>
      <c r="M31" s="29">
        <f>+รายการ!N25</f>
        <v>25000</v>
      </c>
      <c r="N31" s="29">
        <f t="shared" ref="N31:N39" si="2">F31-M31</f>
        <v>80489.899999999994</v>
      </c>
      <c r="O31" s="76"/>
      <c r="P31" s="19"/>
      <c r="Q31" s="65"/>
      <c r="R31" s="65"/>
      <c r="S31" s="65"/>
      <c r="T31" s="65"/>
      <c r="U31" s="65"/>
    </row>
    <row r="32" spans="1:21" s="35" customFormat="1" ht="37.5">
      <c r="A32" s="74">
        <v>24</v>
      </c>
      <c r="B32" s="16" t="s">
        <v>541</v>
      </c>
      <c r="C32" s="8" t="s">
        <v>110</v>
      </c>
      <c r="D32" s="8"/>
      <c r="E32" s="17">
        <v>20000</v>
      </c>
      <c r="F32" s="29">
        <f>20000+14000+26000+14600+13340</f>
        <v>87940</v>
      </c>
      <c r="G32" s="15" t="s">
        <v>424</v>
      </c>
      <c r="H32" s="8"/>
      <c r="I32" s="8"/>
      <c r="J32" s="8"/>
      <c r="K32" s="8"/>
      <c r="L32" s="8" t="s">
        <v>125</v>
      </c>
      <c r="M32" s="29">
        <f>+รายการ!N26</f>
        <v>87940</v>
      </c>
      <c r="N32" s="29">
        <f t="shared" si="2"/>
        <v>0</v>
      </c>
      <c r="O32" s="76"/>
      <c r="P32" s="19"/>
      <c r="Q32" s="65"/>
      <c r="R32" s="65"/>
      <c r="S32" s="65"/>
      <c r="T32" s="65"/>
      <c r="U32" s="65"/>
    </row>
    <row r="33" spans="1:21" s="35" customFormat="1" ht="37.5">
      <c r="A33" s="74">
        <v>25</v>
      </c>
      <c r="B33" s="16" t="s">
        <v>542</v>
      </c>
      <c r="C33" s="8" t="s">
        <v>110</v>
      </c>
      <c r="D33" s="8"/>
      <c r="E33" s="17">
        <v>30000</v>
      </c>
      <c r="F33" s="29">
        <f>30000-22040</f>
        <v>7960</v>
      </c>
      <c r="G33" s="15" t="s">
        <v>424</v>
      </c>
      <c r="H33" s="8"/>
      <c r="I33" s="8"/>
      <c r="J33" s="8"/>
      <c r="K33" s="8"/>
      <c r="L33" s="8" t="s">
        <v>125</v>
      </c>
      <c r="M33" s="29">
        <f>+รายการ!I27</f>
        <v>7960</v>
      </c>
      <c r="N33" s="29">
        <f t="shared" si="2"/>
        <v>0</v>
      </c>
      <c r="O33" s="76"/>
      <c r="P33" s="19"/>
      <c r="Q33" s="65"/>
      <c r="R33" s="65"/>
      <c r="S33" s="65"/>
      <c r="T33" s="65"/>
      <c r="U33" s="65"/>
    </row>
    <row r="34" spans="1:21" s="35" customFormat="1">
      <c r="A34" s="74">
        <v>26</v>
      </c>
      <c r="B34" s="16" t="s">
        <v>228</v>
      </c>
      <c r="C34" s="8" t="s">
        <v>110</v>
      </c>
      <c r="D34" s="8"/>
      <c r="E34" s="17">
        <v>200000</v>
      </c>
      <c r="F34" s="29">
        <f>200000-60000-90000</f>
        <v>50000</v>
      </c>
      <c r="G34" s="15" t="s">
        <v>424</v>
      </c>
      <c r="H34" s="8"/>
      <c r="I34" s="8"/>
      <c r="J34" s="8"/>
      <c r="K34" s="8"/>
      <c r="L34" s="8" t="s">
        <v>125</v>
      </c>
      <c r="M34" s="29">
        <f>+รายการ!N28</f>
        <v>45420</v>
      </c>
      <c r="N34" s="29">
        <f t="shared" si="2"/>
        <v>4580</v>
      </c>
      <c r="O34" s="76"/>
      <c r="P34" s="19"/>
      <c r="Q34" s="65"/>
      <c r="R34" s="65"/>
      <c r="S34" s="65"/>
      <c r="T34" s="65"/>
      <c r="U34" s="65"/>
    </row>
    <row r="35" spans="1:21" s="35" customFormat="1">
      <c r="A35" s="74">
        <v>27</v>
      </c>
      <c r="B35" s="16" t="s">
        <v>457</v>
      </c>
      <c r="C35" s="8" t="s">
        <v>110</v>
      </c>
      <c r="D35" s="8"/>
      <c r="E35" s="17">
        <v>59000</v>
      </c>
      <c r="F35" s="29"/>
      <c r="G35" s="15" t="s">
        <v>424</v>
      </c>
      <c r="H35" s="8"/>
      <c r="I35" s="8"/>
      <c r="J35" s="8"/>
      <c r="K35" s="8"/>
      <c r="L35" s="8" t="s">
        <v>125</v>
      </c>
      <c r="M35" s="29">
        <f>+รายการ!M29</f>
        <v>59000</v>
      </c>
      <c r="N35" s="29">
        <f>E35-M35</f>
        <v>0</v>
      </c>
      <c r="O35" s="76"/>
      <c r="P35" s="19"/>
      <c r="Q35" s="65"/>
      <c r="R35" s="65"/>
      <c r="S35" s="65"/>
      <c r="T35" s="65"/>
      <c r="U35" s="65"/>
    </row>
    <row r="36" spans="1:21" s="35" customFormat="1" ht="37.5">
      <c r="A36" s="74">
        <v>28</v>
      </c>
      <c r="B36" s="16" t="s">
        <v>545</v>
      </c>
      <c r="C36" s="8" t="s">
        <v>110</v>
      </c>
      <c r="D36" s="8"/>
      <c r="E36" s="17">
        <v>50000</v>
      </c>
      <c r="F36" s="29">
        <f>50000-30000</f>
        <v>20000</v>
      </c>
      <c r="G36" s="15" t="s">
        <v>424</v>
      </c>
      <c r="H36" s="8"/>
      <c r="I36" s="8"/>
      <c r="J36" s="8"/>
      <c r="K36" s="8"/>
      <c r="L36" s="8" t="s">
        <v>125</v>
      </c>
      <c r="M36" s="29">
        <f>+รายการ!N30</f>
        <v>19950</v>
      </c>
      <c r="N36" s="29">
        <f t="shared" si="2"/>
        <v>50</v>
      </c>
      <c r="O36" s="76"/>
      <c r="P36" s="19"/>
      <c r="Q36" s="65"/>
      <c r="R36" s="65"/>
      <c r="S36" s="65"/>
      <c r="T36" s="65"/>
      <c r="U36" s="65"/>
    </row>
    <row r="37" spans="1:21" s="35" customFormat="1" ht="37.5">
      <c r="A37" s="74">
        <v>29</v>
      </c>
      <c r="B37" s="16" t="s">
        <v>546</v>
      </c>
      <c r="C37" s="8" t="s">
        <v>110</v>
      </c>
      <c r="D37" s="8"/>
      <c r="E37" s="17">
        <v>500000</v>
      </c>
      <c r="F37" s="29">
        <f>500000-800</f>
        <v>499200</v>
      </c>
      <c r="G37" s="15" t="s">
        <v>424</v>
      </c>
      <c r="H37" s="8"/>
      <c r="I37" s="8"/>
      <c r="J37" s="8"/>
      <c r="K37" s="8"/>
      <c r="L37" s="8" t="s">
        <v>125</v>
      </c>
      <c r="M37" s="29">
        <f>+รายการ!I31</f>
        <v>499200</v>
      </c>
      <c r="N37" s="29">
        <f t="shared" si="2"/>
        <v>0</v>
      </c>
      <c r="O37" s="76"/>
      <c r="P37" s="19"/>
      <c r="Q37" s="65"/>
      <c r="R37" s="65"/>
      <c r="S37" s="65"/>
      <c r="T37" s="65"/>
      <c r="U37" s="65"/>
    </row>
    <row r="38" spans="1:21" s="35" customFormat="1" ht="37.5">
      <c r="A38" s="74">
        <v>30</v>
      </c>
      <c r="B38" s="16" t="s">
        <v>547</v>
      </c>
      <c r="C38" s="8" t="s">
        <v>110</v>
      </c>
      <c r="D38" s="8"/>
      <c r="E38" s="17">
        <v>600000</v>
      </c>
      <c r="F38" s="29">
        <f>600000+100000+30700-80000</f>
        <v>650700</v>
      </c>
      <c r="G38" s="15" t="s">
        <v>424</v>
      </c>
      <c r="H38" s="8"/>
      <c r="I38" s="8"/>
      <c r="J38" s="8"/>
      <c r="K38" s="8"/>
      <c r="L38" s="8" t="s">
        <v>125</v>
      </c>
      <c r="M38" s="29">
        <f>+รายการ!N32</f>
        <v>650700</v>
      </c>
      <c r="N38" s="29">
        <f t="shared" si="2"/>
        <v>0</v>
      </c>
      <c r="O38" s="76"/>
      <c r="P38" s="19"/>
      <c r="Q38" s="65"/>
      <c r="R38" s="65"/>
      <c r="S38" s="65"/>
      <c r="T38" s="65"/>
      <c r="U38" s="65"/>
    </row>
    <row r="39" spans="1:21" s="35" customFormat="1">
      <c r="A39" s="74">
        <v>31</v>
      </c>
      <c r="B39" s="16" t="s">
        <v>169</v>
      </c>
      <c r="C39" s="8" t="s">
        <v>110</v>
      </c>
      <c r="D39" s="8"/>
      <c r="E39" s="17">
        <v>394590</v>
      </c>
      <c r="F39" s="29">
        <f>394590+200000+40000+500000+176360+323640+15000+7000+70000+42000+500000+100000+10000+9000+6600+10+4200+22040+800+60000+42000+28000+200000+40000+1400+2100+150000+10000+50+3900+15000+500+2800+3400+6500+16500+1900+54000+350+500+900+75000+90000+50000+30000+274000+32000+53000-833900+23500+10000+90000+70000+20000+30000+150000+6500+38000+50000+8000+5100+5400+11000+5000+42500+23000</f>
        <v>3419140</v>
      </c>
      <c r="G39" s="8" t="s">
        <v>424</v>
      </c>
      <c r="H39" s="8"/>
      <c r="I39" s="8"/>
      <c r="J39" s="8"/>
      <c r="K39" s="8"/>
      <c r="L39" s="8" t="s">
        <v>125</v>
      </c>
      <c r="M39" s="282">
        <f>+รายการ!N33</f>
        <v>2958761</v>
      </c>
      <c r="N39" s="29">
        <f t="shared" si="2"/>
        <v>460379</v>
      </c>
      <c r="O39" s="76"/>
      <c r="P39" s="19"/>
      <c r="Q39" s="65"/>
      <c r="R39" s="65"/>
      <c r="S39" s="65"/>
      <c r="T39" s="65"/>
      <c r="U39" s="65"/>
    </row>
    <row r="40" spans="1:21" s="35" customFormat="1">
      <c r="A40" s="74"/>
      <c r="B40" s="75" t="s">
        <v>350</v>
      </c>
      <c r="C40" s="8"/>
      <c r="D40" s="8"/>
      <c r="E40" s="29"/>
      <c r="F40" s="29"/>
      <c r="G40" s="8"/>
      <c r="H40" s="8"/>
      <c r="I40" s="8"/>
      <c r="J40" s="8"/>
      <c r="K40" s="8"/>
      <c r="L40" s="8"/>
      <c r="M40" s="29"/>
      <c r="N40" s="29"/>
      <c r="O40" s="76"/>
      <c r="P40" s="19"/>
      <c r="Q40" s="65"/>
      <c r="R40" s="65"/>
      <c r="S40" s="65"/>
      <c r="T40" s="65"/>
      <c r="U40" s="65"/>
    </row>
    <row r="41" spans="1:21" s="35" customFormat="1">
      <c r="A41" s="74">
        <v>32</v>
      </c>
      <c r="B41" s="16" t="s">
        <v>227</v>
      </c>
      <c r="C41" s="8" t="s">
        <v>350</v>
      </c>
      <c r="D41" s="8"/>
      <c r="E41" s="18">
        <v>10000</v>
      </c>
      <c r="F41" s="29"/>
      <c r="G41" s="8" t="s">
        <v>424</v>
      </c>
      <c r="H41" s="8"/>
      <c r="I41" s="8"/>
      <c r="J41" s="8"/>
      <c r="K41" s="8"/>
      <c r="L41" s="8" t="s">
        <v>125</v>
      </c>
      <c r="M41" s="29">
        <f>+รายการ!N35</f>
        <v>4475</v>
      </c>
      <c r="N41" s="29">
        <f>E41-M41</f>
        <v>5525</v>
      </c>
      <c r="O41" s="76"/>
      <c r="P41" s="19"/>
      <c r="Q41" s="65"/>
      <c r="R41" s="65"/>
      <c r="S41" s="65"/>
      <c r="T41" s="65"/>
      <c r="U41" s="65"/>
    </row>
    <row r="42" spans="1:21" s="35" customFormat="1" ht="37.5">
      <c r="A42" s="74">
        <v>33</v>
      </c>
      <c r="B42" s="16" t="s">
        <v>525</v>
      </c>
      <c r="C42" s="8" t="s">
        <v>350</v>
      </c>
      <c r="D42" s="8"/>
      <c r="E42" s="17">
        <v>100000</v>
      </c>
      <c r="F42" s="29">
        <f>100000-28000</f>
        <v>72000</v>
      </c>
      <c r="G42" s="8" t="s">
        <v>424</v>
      </c>
      <c r="H42" s="8"/>
      <c r="I42" s="8"/>
      <c r="J42" s="8"/>
      <c r="K42" s="8"/>
      <c r="L42" s="8" t="s">
        <v>125</v>
      </c>
      <c r="M42" s="29">
        <f>+รายการ!N36</f>
        <v>72000</v>
      </c>
      <c r="N42" s="29">
        <f t="shared" ref="N42:N49" si="3">F42-M42</f>
        <v>0</v>
      </c>
      <c r="O42" s="76"/>
      <c r="P42" s="19"/>
      <c r="Q42" s="65"/>
      <c r="R42" s="65"/>
      <c r="S42" s="65"/>
      <c r="T42" s="65"/>
      <c r="U42" s="65"/>
    </row>
    <row r="43" spans="1:21" s="35" customFormat="1" ht="37.5">
      <c r="A43" s="74">
        <v>34</v>
      </c>
      <c r="B43" s="16" t="s">
        <v>526</v>
      </c>
      <c r="C43" s="8" t="s">
        <v>350</v>
      </c>
      <c r="D43" s="8"/>
      <c r="E43" s="17">
        <v>263400</v>
      </c>
      <c r="F43" s="29">
        <f>263400-200000+2000</f>
        <v>65400</v>
      </c>
      <c r="G43" s="8" t="s">
        <v>424</v>
      </c>
      <c r="H43" s="8"/>
      <c r="I43" s="8"/>
      <c r="J43" s="8"/>
      <c r="K43" s="8"/>
      <c r="L43" s="8" t="s">
        <v>125</v>
      </c>
      <c r="M43" s="29">
        <f>+รายการ!N37</f>
        <v>49191.199999999997</v>
      </c>
      <c r="N43" s="29">
        <f t="shared" si="3"/>
        <v>16208.800000000003</v>
      </c>
      <c r="O43" s="76"/>
      <c r="P43" s="19"/>
      <c r="Q43" s="65"/>
      <c r="R43" s="65"/>
      <c r="S43" s="65"/>
      <c r="T43" s="65"/>
      <c r="U43" s="65"/>
    </row>
    <row r="44" spans="1:21" s="35" customFormat="1" ht="37.5">
      <c r="A44" s="74">
        <v>35</v>
      </c>
      <c r="B44" s="16" t="s">
        <v>435</v>
      </c>
      <c r="C44" s="8" t="s">
        <v>350</v>
      </c>
      <c r="D44" s="8"/>
      <c r="E44" s="17">
        <v>130000</v>
      </c>
      <c r="F44" s="29">
        <f>130000-30700-14600-17500-3972-42500</f>
        <v>20728</v>
      </c>
      <c r="G44" s="15" t="s">
        <v>424</v>
      </c>
      <c r="H44" s="8"/>
      <c r="I44" s="8"/>
      <c r="J44" s="8"/>
      <c r="K44" s="8"/>
      <c r="L44" s="8" t="s">
        <v>125</v>
      </c>
      <c r="M44" s="29">
        <f>+รายการ!N38</f>
        <v>32627.42</v>
      </c>
      <c r="N44" s="29">
        <f t="shared" si="3"/>
        <v>-11899.419999999998</v>
      </c>
      <c r="O44" s="76"/>
      <c r="P44" s="19"/>
      <c r="Q44" s="65"/>
      <c r="R44" s="65"/>
      <c r="S44" s="65"/>
      <c r="T44" s="65"/>
      <c r="U44" s="65"/>
    </row>
    <row r="45" spans="1:21" s="35" customFormat="1">
      <c r="A45" s="74">
        <v>36</v>
      </c>
      <c r="B45" s="16" t="s">
        <v>101</v>
      </c>
      <c r="C45" s="8" t="s">
        <v>350</v>
      </c>
      <c r="D45" s="8"/>
      <c r="E45" s="17">
        <v>100000</v>
      </c>
      <c r="F45" s="29">
        <f>100000+69215+60000+20000+60110</f>
        <v>309325</v>
      </c>
      <c r="G45" s="8" t="s">
        <v>424</v>
      </c>
      <c r="H45" s="8"/>
      <c r="I45" s="8"/>
      <c r="J45" s="8"/>
      <c r="K45" s="8"/>
      <c r="L45" s="8" t="s">
        <v>125</v>
      </c>
      <c r="M45" s="29">
        <f>+รายการ!N39</f>
        <v>234358.9</v>
      </c>
      <c r="N45" s="29">
        <f t="shared" si="3"/>
        <v>74966.100000000006</v>
      </c>
      <c r="O45" s="76"/>
      <c r="P45" s="19"/>
      <c r="Q45" s="65"/>
      <c r="R45" s="65"/>
      <c r="S45" s="65"/>
      <c r="T45" s="65"/>
      <c r="U45" s="65"/>
    </row>
    <row r="46" spans="1:21" s="35" customFormat="1">
      <c r="A46" s="74">
        <v>37</v>
      </c>
      <c r="B46" s="16" t="s">
        <v>98</v>
      </c>
      <c r="C46" s="8" t="s">
        <v>350</v>
      </c>
      <c r="D46" s="8"/>
      <c r="E46" s="17">
        <v>247000</v>
      </c>
      <c r="F46" s="29">
        <f>247000-53000-23500</f>
        <v>170500</v>
      </c>
      <c r="G46" s="8" t="s">
        <v>424</v>
      </c>
      <c r="H46" s="8"/>
      <c r="I46" s="8"/>
      <c r="J46" s="8"/>
      <c r="K46" s="8"/>
      <c r="L46" s="8" t="s">
        <v>125</v>
      </c>
      <c r="M46" s="29">
        <f>+รายการ!N40</f>
        <v>110499.24</v>
      </c>
      <c r="N46" s="29">
        <f t="shared" si="3"/>
        <v>60000.759999999995</v>
      </c>
      <c r="O46" s="76"/>
      <c r="P46" s="19"/>
      <c r="Q46" s="65"/>
      <c r="R46" s="65"/>
      <c r="S46" s="65"/>
      <c r="T46" s="65"/>
      <c r="U46" s="65"/>
    </row>
    <row r="47" spans="1:21" s="35" customFormat="1">
      <c r="A47" s="74">
        <v>38</v>
      </c>
      <c r="B47" s="16" t="s">
        <v>99</v>
      </c>
      <c r="C47" s="8" t="s">
        <v>350</v>
      </c>
      <c r="D47" s="8"/>
      <c r="E47" s="17">
        <v>50000</v>
      </c>
      <c r="F47" s="29">
        <f>50000-40000</f>
        <v>10000</v>
      </c>
      <c r="G47" s="8" t="s">
        <v>424</v>
      </c>
      <c r="H47" s="8"/>
      <c r="I47" s="8"/>
      <c r="J47" s="8"/>
      <c r="K47" s="8"/>
      <c r="L47" s="8" t="s">
        <v>125</v>
      </c>
      <c r="M47" s="29">
        <f>+รายการ!N41</f>
        <v>7760</v>
      </c>
      <c r="N47" s="29">
        <f t="shared" si="3"/>
        <v>2240</v>
      </c>
      <c r="O47" s="76"/>
      <c r="P47" s="19"/>
      <c r="Q47" s="65"/>
      <c r="R47" s="65"/>
      <c r="S47" s="65"/>
      <c r="T47" s="65"/>
      <c r="U47" s="65"/>
    </row>
    <row r="48" spans="1:21" s="35" customFormat="1" ht="56.25">
      <c r="A48" s="74">
        <v>39</v>
      </c>
      <c r="B48" s="16" t="s">
        <v>430</v>
      </c>
      <c r="C48" s="8" t="s">
        <v>350</v>
      </c>
      <c r="D48" s="8"/>
      <c r="E48" s="17">
        <v>16000</v>
      </c>
      <c r="F48" s="29">
        <f>16000-400</f>
        <v>15600</v>
      </c>
      <c r="G48" s="8" t="s">
        <v>424</v>
      </c>
      <c r="H48" s="8"/>
      <c r="I48" s="8"/>
      <c r="J48" s="8"/>
      <c r="K48" s="8"/>
      <c r="L48" s="8" t="s">
        <v>125</v>
      </c>
      <c r="M48" s="29">
        <v>15600</v>
      </c>
      <c r="N48" s="29">
        <f t="shared" si="3"/>
        <v>0</v>
      </c>
      <c r="O48" s="76"/>
      <c r="P48" s="19"/>
      <c r="Q48" s="65"/>
      <c r="R48" s="65"/>
      <c r="S48" s="65"/>
      <c r="T48" s="65"/>
      <c r="U48" s="65"/>
    </row>
    <row r="49" spans="1:21" s="35" customFormat="1" ht="37.5">
      <c r="A49" s="74">
        <v>40</v>
      </c>
      <c r="B49" s="16" t="s">
        <v>524</v>
      </c>
      <c r="C49" s="8" t="s">
        <v>350</v>
      </c>
      <c r="D49" s="8"/>
      <c r="E49" s="17">
        <v>3200</v>
      </c>
      <c r="F49" s="29">
        <f>3200-1000</f>
        <v>2200</v>
      </c>
      <c r="G49" s="15" t="s">
        <v>424</v>
      </c>
      <c r="H49" s="8"/>
      <c r="I49" s="8"/>
      <c r="J49" s="8"/>
      <c r="K49" s="8"/>
      <c r="L49" s="8" t="s">
        <v>125</v>
      </c>
      <c r="M49" s="29">
        <v>2200</v>
      </c>
      <c r="N49" s="29">
        <f t="shared" si="3"/>
        <v>0</v>
      </c>
      <c r="O49" s="76"/>
      <c r="P49" s="19"/>
      <c r="Q49" s="65"/>
      <c r="R49" s="65"/>
      <c r="S49" s="65"/>
      <c r="T49" s="65"/>
      <c r="U49" s="65"/>
    </row>
    <row r="50" spans="1:21" s="35" customFormat="1" ht="37.5">
      <c r="A50" s="74">
        <v>41</v>
      </c>
      <c r="B50" s="16" t="s">
        <v>527</v>
      </c>
      <c r="C50" s="8" t="s">
        <v>350</v>
      </c>
      <c r="D50" s="8"/>
      <c r="E50" s="17">
        <v>4300</v>
      </c>
      <c r="F50" s="29"/>
      <c r="G50" s="15" t="s">
        <v>424</v>
      </c>
      <c r="H50" s="8"/>
      <c r="I50" s="8"/>
      <c r="J50" s="8"/>
      <c r="K50" s="8"/>
      <c r="L50" s="8" t="s">
        <v>125</v>
      </c>
      <c r="M50" s="29">
        <v>4300</v>
      </c>
      <c r="N50" s="29">
        <f>E50-M50</f>
        <v>0</v>
      </c>
      <c r="O50" s="76"/>
      <c r="P50" s="19"/>
      <c r="Q50" s="65"/>
      <c r="R50" s="65"/>
      <c r="S50" s="65"/>
      <c r="T50" s="65"/>
      <c r="U50" s="65"/>
    </row>
    <row r="51" spans="1:21" s="35" customFormat="1">
      <c r="A51" s="74">
        <v>42</v>
      </c>
      <c r="B51" s="16" t="s">
        <v>528</v>
      </c>
      <c r="C51" s="8" t="s">
        <v>350</v>
      </c>
      <c r="D51" s="8"/>
      <c r="E51" s="17">
        <v>50000</v>
      </c>
      <c r="F51" s="29">
        <f>50000-2100</f>
        <v>47900</v>
      </c>
      <c r="G51" s="15" t="s">
        <v>424</v>
      </c>
      <c r="H51" s="8"/>
      <c r="I51" s="8"/>
      <c r="J51" s="8"/>
      <c r="K51" s="8"/>
      <c r="L51" s="8" t="s">
        <v>125</v>
      </c>
      <c r="M51" s="29">
        <v>47900</v>
      </c>
      <c r="N51" s="29">
        <f>F51-M51</f>
        <v>0</v>
      </c>
      <c r="O51" s="76"/>
      <c r="P51" s="19"/>
      <c r="Q51" s="65"/>
      <c r="R51" s="65"/>
      <c r="S51" s="65"/>
      <c r="T51" s="65"/>
      <c r="U51" s="65"/>
    </row>
    <row r="52" spans="1:21" s="35" customFormat="1">
      <c r="A52" s="74"/>
      <c r="B52" s="75" t="s">
        <v>565</v>
      </c>
      <c r="C52" s="8"/>
      <c r="D52" s="8"/>
      <c r="E52" s="29"/>
      <c r="F52" s="29"/>
      <c r="G52" s="8"/>
      <c r="H52" s="8"/>
      <c r="I52" s="8"/>
      <c r="J52" s="8"/>
      <c r="K52" s="8"/>
      <c r="L52" s="8"/>
      <c r="M52" s="29"/>
      <c r="N52" s="29"/>
      <c r="O52" s="76"/>
      <c r="P52" s="19"/>
      <c r="Q52" s="65"/>
      <c r="R52" s="65"/>
      <c r="S52" s="65"/>
      <c r="T52" s="65"/>
      <c r="U52" s="65"/>
    </row>
    <row r="53" spans="1:21" s="35" customFormat="1" ht="56.25">
      <c r="A53" s="74">
        <v>43</v>
      </c>
      <c r="B53" s="16" t="s">
        <v>389</v>
      </c>
      <c r="C53" s="8" t="s">
        <v>565</v>
      </c>
      <c r="D53" s="8"/>
      <c r="E53" s="17">
        <v>90000</v>
      </c>
      <c r="F53" s="29">
        <f>90000-50</f>
        <v>89950</v>
      </c>
      <c r="G53" s="15" t="s">
        <v>424</v>
      </c>
      <c r="H53" s="8"/>
      <c r="I53" s="8"/>
      <c r="J53" s="8"/>
      <c r="K53" s="8"/>
      <c r="L53" s="8" t="s">
        <v>125</v>
      </c>
      <c r="M53" s="29">
        <f>+รายการ!I48</f>
        <v>89950</v>
      </c>
      <c r="N53" s="29">
        <f>F53-M53</f>
        <v>0</v>
      </c>
      <c r="O53" s="76"/>
      <c r="P53" s="19"/>
      <c r="Q53" s="65"/>
      <c r="R53" s="65"/>
      <c r="S53" s="65"/>
      <c r="T53" s="65"/>
      <c r="U53" s="65"/>
    </row>
    <row r="54" spans="1:21" s="35" customFormat="1" ht="37.5">
      <c r="A54" s="74">
        <v>44</v>
      </c>
      <c r="B54" s="16" t="s">
        <v>367</v>
      </c>
      <c r="C54" s="8" t="s">
        <v>565</v>
      </c>
      <c r="D54" s="8"/>
      <c r="E54" s="17">
        <v>108000</v>
      </c>
      <c r="F54" s="29"/>
      <c r="G54" s="15" t="s">
        <v>424</v>
      </c>
      <c r="H54" s="8"/>
      <c r="I54" s="8"/>
      <c r="J54" s="8"/>
      <c r="K54" s="8"/>
      <c r="L54" s="8" t="s">
        <v>125</v>
      </c>
      <c r="M54" s="29">
        <f>+รายการ!N49</f>
        <v>78390</v>
      </c>
      <c r="N54" s="29">
        <f>E54-M54</f>
        <v>29610</v>
      </c>
      <c r="O54" s="76"/>
      <c r="P54" s="19"/>
      <c r="Q54" s="65"/>
      <c r="R54" s="65"/>
      <c r="S54" s="65"/>
      <c r="T54" s="65"/>
      <c r="U54" s="65"/>
    </row>
    <row r="55" spans="1:21" s="35" customFormat="1" ht="47.25">
      <c r="A55" s="74">
        <v>45</v>
      </c>
      <c r="B55" s="16" t="s">
        <v>151</v>
      </c>
      <c r="C55" s="8" t="s">
        <v>565</v>
      </c>
      <c r="D55" s="8"/>
      <c r="E55" s="17">
        <v>10000</v>
      </c>
      <c r="F55" s="29">
        <f>10000-10000</f>
        <v>0</v>
      </c>
      <c r="G55" s="8" t="s">
        <v>424</v>
      </c>
      <c r="H55" s="8"/>
      <c r="I55" s="8"/>
      <c r="J55" s="8"/>
      <c r="K55" s="8"/>
      <c r="L55" s="8"/>
      <c r="M55" s="29">
        <f>+รายการ!I50</f>
        <v>0</v>
      </c>
      <c r="N55" s="29">
        <f>F55-M55</f>
        <v>0</v>
      </c>
      <c r="O55" s="76"/>
      <c r="P55" s="14" t="s">
        <v>398</v>
      </c>
      <c r="Q55" s="65"/>
      <c r="R55" s="65"/>
      <c r="S55" s="65"/>
      <c r="T55" s="65"/>
      <c r="U55" s="65"/>
    </row>
    <row r="56" spans="1:21" s="35" customFormat="1" ht="56.25">
      <c r="A56" s="74">
        <v>46</v>
      </c>
      <c r="B56" s="16" t="s">
        <v>430</v>
      </c>
      <c r="C56" s="8" t="s">
        <v>565</v>
      </c>
      <c r="D56" s="8"/>
      <c r="E56" s="17">
        <v>32000</v>
      </c>
      <c r="F56" s="29">
        <f>32000-800</f>
        <v>31200</v>
      </c>
      <c r="G56" s="8" t="s">
        <v>424</v>
      </c>
      <c r="H56" s="8"/>
      <c r="I56" s="8"/>
      <c r="J56" s="8"/>
      <c r="K56" s="8"/>
      <c r="L56" s="8" t="s">
        <v>125</v>
      </c>
      <c r="M56" s="29">
        <v>31200</v>
      </c>
      <c r="N56" s="29">
        <f>F56-M56</f>
        <v>0</v>
      </c>
      <c r="O56" s="76"/>
      <c r="P56" s="19"/>
      <c r="Q56" s="65"/>
      <c r="R56" s="65"/>
      <c r="S56" s="65"/>
      <c r="T56" s="65"/>
      <c r="U56" s="65"/>
    </row>
    <row r="57" spans="1:21" s="35" customFormat="1" ht="37.5">
      <c r="A57" s="74">
        <v>47</v>
      </c>
      <c r="B57" s="16" t="s">
        <v>524</v>
      </c>
      <c r="C57" s="8" t="s">
        <v>565</v>
      </c>
      <c r="D57" s="8"/>
      <c r="E57" s="17">
        <v>9600</v>
      </c>
      <c r="F57" s="29">
        <f>9600-3000</f>
        <v>6600</v>
      </c>
      <c r="G57" s="15" t="s">
        <v>424</v>
      </c>
      <c r="H57" s="8"/>
      <c r="I57" s="8"/>
      <c r="J57" s="8"/>
      <c r="K57" s="8"/>
      <c r="L57" s="8" t="s">
        <v>125</v>
      </c>
      <c r="M57" s="29">
        <v>6600</v>
      </c>
      <c r="N57" s="29">
        <f>F57-M57</f>
        <v>0</v>
      </c>
      <c r="O57" s="76"/>
      <c r="P57" s="19"/>
      <c r="Q57" s="65"/>
      <c r="R57" s="65"/>
      <c r="S57" s="65"/>
      <c r="T57" s="65"/>
      <c r="U57" s="65"/>
    </row>
    <row r="58" spans="1:21" s="35" customFormat="1" ht="37.5">
      <c r="A58" s="74">
        <v>48</v>
      </c>
      <c r="B58" s="16" t="s">
        <v>527</v>
      </c>
      <c r="C58" s="8" t="s">
        <v>565</v>
      </c>
      <c r="D58" s="8"/>
      <c r="E58" s="17">
        <v>8600</v>
      </c>
      <c r="F58" s="29"/>
      <c r="G58" s="8" t="s">
        <v>424</v>
      </c>
      <c r="H58" s="8"/>
      <c r="I58" s="8"/>
      <c r="J58" s="8"/>
      <c r="K58" s="8"/>
      <c r="L58" s="8" t="s">
        <v>125</v>
      </c>
      <c r="M58" s="29">
        <v>8600</v>
      </c>
      <c r="N58" s="29">
        <f>E58-M58</f>
        <v>0</v>
      </c>
      <c r="O58" s="76"/>
      <c r="P58" s="19"/>
      <c r="Q58" s="65"/>
      <c r="R58" s="65"/>
      <c r="S58" s="65"/>
      <c r="T58" s="65"/>
      <c r="U58" s="65"/>
    </row>
    <row r="59" spans="1:21" s="35" customFormat="1" ht="37.5">
      <c r="A59" s="74">
        <v>49</v>
      </c>
      <c r="B59" s="16" t="s">
        <v>534</v>
      </c>
      <c r="C59" s="8" t="s">
        <v>417</v>
      </c>
      <c r="D59" s="8"/>
      <c r="E59" s="17">
        <v>16000</v>
      </c>
      <c r="F59" s="29">
        <f>16000-100</f>
        <v>15900</v>
      </c>
      <c r="G59" s="15" t="s">
        <v>424</v>
      </c>
      <c r="H59" s="8"/>
      <c r="I59" s="8"/>
      <c r="J59" s="8"/>
      <c r="K59" s="8"/>
      <c r="L59" s="8" t="s">
        <v>125</v>
      </c>
      <c r="M59" s="29">
        <v>15900</v>
      </c>
      <c r="N59" s="29">
        <f>F59-M59</f>
        <v>0</v>
      </c>
      <c r="O59" s="76"/>
      <c r="P59" s="19"/>
      <c r="Q59" s="65"/>
      <c r="R59" s="65"/>
      <c r="S59" s="65"/>
      <c r="T59" s="65"/>
      <c r="U59" s="65"/>
    </row>
    <row r="60" spans="1:21" s="35" customFormat="1" ht="37.5">
      <c r="A60" s="74">
        <v>50</v>
      </c>
      <c r="B60" s="16" t="s">
        <v>566</v>
      </c>
      <c r="C60" s="8" t="s">
        <v>417</v>
      </c>
      <c r="D60" s="8"/>
      <c r="E60" s="17">
        <v>210000</v>
      </c>
      <c r="F60" s="29">
        <f>210000-38000-101639.84</f>
        <v>70360.160000000003</v>
      </c>
      <c r="G60" s="15" t="s">
        <v>424</v>
      </c>
      <c r="H60" s="8"/>
      <c r="I60" s="8"/>
      <c r="J60" s="8"/>
      <c r="K60" s="8"/>
      <c r="L60" s="8" t="s">
        <v>125</v>
      </c>
      <c r="M60" s="29">
        <f>+รายการ!N55</f>
        <v>124600.16</v>
      </c>
      <c r="N60" s="29">
        <f>F60-M60</f>
        <v>-54240</v>
      </c>
      <c r="O60" s="76"/>
      <c r="P60" s="19"/>
      <c r="Q60" s="65"/>
      <c r="R60" s="65"/>
      <c r="S60" s="65"/>
      <c r="T60" s="65"/>
      <c r="U60" s="65"/>
    </row>
    <row r="61" spans="1:21" s="35" customFormat="1">
      <c r="A61" s="74">
        <v>51</v>
      </c>
      <c r="B61" s="16" t="s">
        <v>97</v>
      </c>
      <c r="C61" s="8" t="s">
        <v>417</v>
      </c>
      <c r="D61" s="8"/>
      <c r="E61" s="17">
        <v>58000</v>
      </c>
      <c r="F61" s="29"/>
      <c r="G61" s="15" t="s">
        <v>424</v>
      </c>
      <c r="H61" s="8"/>
      <c r="I61" s="8"/>
      <c r="J61" s="8"/>
      <c r="K61" s="8"/>
      <c r="L61" s="8" t="s">
        <v>125</v>
      </c>
      <c r="M61" s="29">
        <f>+รายการ!N56</f>
        <v>57455</v>
      </c>
      <c r="N61" s="29">
        <f>E61-M61</f>
        <v>545</v>
      </c>
      <c r="O61" s="76"/>
      <c r="P61" s="19"/>
      <c r="Q61" s="65"/>
      <c r="R61" s="65"/>
      <c r="S61" s="65"/>
      <c r="T61" s="65"/>
      <c r="U61" s="65"/>
    </row>
    <row r="62" spans="1:21" s="35" customFormat="1">
      <c r="A62" s="74">
        <v>52</v>
      </c>
      <c r="B62" s="16" t="s">
        <v>535</v>
      </c>
      <c r="C62" s="8" t="s">
        <v>417</v>
      </c>
      <c r="D62" s="8"/>
      <c r="E62" s="17">
        <v>177480</v>
      </c>
      <c r="F62" s="29">
        <f>177480-94000</f>
        <v>83480</v>
      </c>
      <c r="G62" s="15" t="s">
        <v>424</v>
      </c>
      <c r="H62" s="8"/>
      <c r="I62" s="8"/>
      <c r="J62" s="8"/>
      <c r="K62" s="8"/>
      <c r="L62" s="8" t="s">
        <v>125</v>
      </c>
      <c r="M62" s="29">
        <f>+รายการ!N57</f>
        <v>92560.86</v>
      </c>
      <c r="N62" s="29">
        <f>F62-M62</f>
        <v>-9080.86</v>
      </c>
      <c r="O62" s="76"/>
      <c r="P62" s="19"/>
      <c r="Q62" s="65"/>
      <c r="R62" s="65"/>
      <c r="S62" s="65"/>
      <c r="T62" s="65"/>
      <c r="U62" s="65"/>
    </row>
    <row r="63" spans="1:21" s="35" customFormat="1">
      <c r="A63" s="74">
        <v>53</v>
      </c>
      <c r="B63" s="16" t="s">
        <v>536</v>
      </c>
      <c r="C63" s="8" t="s">
        <v>417</v>
      </c>
      <c r="D63" s="8"/>
      <c r="E63" s="17">
        <v>423490</v>
      </c>
      <c r="F63" s="29"/>
      <c r="G63" s="15" t="s">
        <v>424</v>
      </c>
      <c r="H63" s="8"/>
      <c r="I63" s="8"/>
      <c r="J63" s="8"/>
      <c r="K63" s="8"/>
      <c r="L63" s="8" t="s">
        <v>125</v>
      </c>
      <c r="M63" s="29">
        <f>+รายการ!N58</f>
        <v>240703.74</v>
      </c>
      <c r="N63" s="29">
        <f>E63-M63</f>
        <v>182786.26</v>
      </c>
      <c r="O63" s="76"/>
      <c r="P63" s="19"/>
      <c r="Q63" s="65"/>
      <c r="R63" s="65"/>
      <c r="S63" s="65"/>
      <c r="T63" s="65"/>
      <c r="U63" s="65"/>
    </row>
    <row r="64" spans="1:21" s="35" customFormat="1" ht="37.5">
      <c r="A64" s="74">
        <v>54</v>
      </c>
      <c r="B64" s="16" t="s">
        <v>537</v>
      </c>
      <c r="C64" s="8" t="s">
        <v>417</v>
      </c>
      <c r="D64" s="8"/>
      <c r="E64" s="17">
        <v>18000</v>
      </c>
      <c r="F64" s="29">
        <f>18000-15000</f>
        <v>3000</v>
      </c>
      <c r="G64" s="15" t="s">
        <v>424</v>
      </c>
      <c r="H64" s="8"/>
      <c r="I64" s="8"/>
      <c r="J64" s="8"/>
      <c r="K64" s="8"/>
      <c r="L64" s="8" t="s">
        <v>125</v>
      </c>
      <c r="M64" s="29">
        <v>3000</v>
      </c>
      <c r="N64" s="29">
        <f>F64-M64</f>
        <v>0</v>
      </c>
      <c r="O64" s="76"/>
      <c r="P64" s="19"/>
      <c r="Q64" s="65"/>
      <c r="R64" s="65"/>
      <c r="S64" s="65"/>
      <c r="T64" s="65"/>
      <c r="U64" s="65"/>
    </row>
    <row r="65" spans="1:21" s="35" customFormat="1">
      <c r="A65" s="74">
        <v>55</v>
      </c>
      <c r="B65" s="16" t="s">
        <v>538</v>
      </c>
      <c r="C65" s="8" t="s">
        <v>417</v>
      </c>
      <c r="D65" s="8"/>
      <c r="E65" s="17">
        <v>96800</v>
      </c>
      <c r="F65" s="29">
        <f>96800-500</f>
        <v>96300</v>
      </c>
      <c r="G65" s="15" t="s">
        <v>424</v>
      </c>
      <c r="H65" s="8"/>
      <c r="I65" s="8"/>
      <c r="J65" s="8"/>
      <c r="K65" s="8"/>
      <c r="L65" s="8" t="s">
        <v>125</v>
      </c>
      <c r="M65" s="29">
        <v>96300</v>
      </c>
      <c r="N65" s="29">
        <f>F65-M65</f>
        <v>0</v>
      </c>
      <c r="O65" s="76"/>
      <c r="P65" s="19"/>
      <c r="Q65" s="65"/>
      <c r="R65" s="65"/>
      <c r="S65" s="65"/>
      <c r="T65" s="65"/>
      <c r="U65" s="65"/>
    </row>
    <row r="66" spans="1:21" s="35" customFormat="1" ht="37.5">
      <c r="A66" s="74">
        <v>56</v>
      </c>
      <c r="B66" s="16" t="s">
        <v>539</v>
      </c>
      <c r="C66" s="8" t="s">
        <v>417</v>
      </c>
      <c r="D66" s="8"/>
      <c r="E66" s="17">
        <v>150000</v>
      </c>
      <c r="F66" s="29"/>
      <c r="G66" s="15" t="s">
        <v>424</v>
      </c>
      <c r="H66" s="8"/>
      <c r="I66" s="8"/>
      <c r="J66" s="8"/>
      <c r="K66" s="8"/>
      <c r="L66" s="8" t="s">
        <v>125</v>
      </c>
      <c r="M66" s="29">
        <f>+รายการ!N61</f>
        <v>149500</v>
      </c>
      <c r="N66" s="29">
        <f>E66-M66</f>
        <v>500</v>
      </c>
      <c r="O66" s="76"/>
      <c r="P66" s="19"/>
      <c r="Q66" s="65"/>
      <c r="R66" s="65"/>
      <c r="S66" s="65"/>
      <c r="T66" s="65"/>
      <c r="U66" s="65"/>
    </row>
    <row r="67" spans="1:21" s="35" customFormat="1" ht="47.25">
      <c r="A67" s="74">
        <v>57</v>
      </c>
      <c r="B67" s="16" t="s">
        <v>458</v>
      </c>
      <c r="C67" s="8" t="s">
        <v>417</v>
      </c>
      <c r="D67" s="8"/>
      <c r="E67" s="17">
        <v>550000</v>
      </c>
      <c r="F67" s="29">
        <f>550000-500000-50000</f>
        <v>0</v>
      </c>
      <c r="G67" s="15" t="s">
        <v>424</v>
      </c>
      <c r="H67" s="8"/>
      <c r="I67" s="8"/>
      <c r="J67" s="8"/>
      <c r="K67" s="8"/>
      <c r="L67" s="8"/>
      <c r="M67" s="29">
        <f>+F67</f>
        <v>0</v>
      </c>
      <c r="N67" s="29">
        <f>F67-M67</f>
        <v>0</v>
      </c>
      <c r="O67" s="76"/>
      <c r="P67" s="14" t="s">
        <v>398</v>
      </c>
      <c r="Q67" s="65"/>
      <c r="R67" s="65"/>
      <c r="S67" s="65"/>
      <c r="T67" s="65"/>
      <c r="U67" s="65"/>
    </row>
    <row r="68" spans="1:21" s="35" customFormat="1" ht="37.5">
      <c r="A68" s="74">
        <v>58</v>
      </c>
      <c r="B68" s="16" t="s">
        <v>543</v>
      </c>
      <c r="C68" s="8" t="s">
        <v>417</v>
      </c>
      <c r="D68" s="8"/>
      <c r="E68" s="17">
        <v>5000</v>
      </c>
      <c r="F68" s="29"/>
      <c r="G68" s="15" t="s">
        <v>424</v>
      </c>
      <c r="H68" s="8"/>
      <c r="I68" s="8"/>
      <c r="J68" s="8"/>
      <c r="K68" s="8"/>
      <c r="L68" s="8"/>
      <c r="M68" s="29">
        <f>+รายการ!I63</f>
        <v>0</v>
      </c>
      <c r="N68" s="29">
        <f>E68-M68</f>
        <v>5000</v>
      </c>
      <c r="O68" s="76"/>
      <c r="P68" s="19"/>
      <c r="Q68" s="65"/>
      <c r="R68" s="65"/>
      <c r="S68" s="65"/>
      <c r="T68" s="65"/>
      <c r="U68" s="65"/>
    </row>
    <row r="69" spans="1:21" s="35" customFormat="1" ht="37.5">
      <c r="A69" s="74">
        <v>59</v>
      </c>
      <c r="B69" s="16" t="s">
        <v>544</v>
      </c>
      <c r="C69" s="8" t="s">
        <v>417</v>
      </c>
      <c r="D69" s="8"/>
      <c r="E69" s="17">
        <v>5000</v>
      </c>
      <c r="F69" s="29"/>
      <c r="G69" s="15" t="s">
        <v>424</v>
      </c>
      <c r="H69" s="8"/>
      <c r="I69" s="8"/>
      <c r="J69" s="8"/>
      <c r="K69" s="8"/>
      <c r="L69" s="8"/>
      <c r="M69" s="29">
        <f>+รายการ!I64</f>
        <v>0</v>
      </c>
      <c r="N69" s="29">
        <f>E69-M69</f>
        <v>5000</v>
      </c>
      <c r="O69" s="76"/>
      <c r="P69" s="19"/>
      <c r="Q69" s="65"/>
      <c r="R69" s="65"/>
      <c r="S69" s="65"/>
      <c r="T69" s="65"/>
      <c r="U69" s="65"/>
    </row>
    <row r="70" spans="1:21" s="35" customFormat="1" ht="37.5">
      <c r="A70" s="74">
        <v>60</v>
      </c>
      <c r="B70" s="16" t="s">
        <v>548</v>
      </c>
      <c r="C70" s="8" t="s">
        <v>417</v>
      </c>
      <c r="D70" s="8"/>
      <c r="E70" s="17">
        <v>188000</v>
      </c>
      <c r="F70" s="29">
        <f>188000-69215+3972+3590</f>
        <v>126347</v>
      </c>
      <c r="G70" s="15" t="s">
        <v>424</v>
      </c>
      <c r="H70" s="8"/>
      <c r="I70" s="8"/>
      <c r="J70" s="8"/>
      <c r="K70" s="8"/>
      <c r="L70" s="8" t="s">
        <v>125</v>
      </c>
      <c r="M70" s="29">
        <f>+รายการ!N65</f>
        <v>126347</v>
      </c>
      <c r="N70" s="29">
        <f>F70-M70</f>
        <v>0</v>
      </c>
      <c r="O70" s="76"/>
      <c r="P70" s="19"/>
      <c r="Q70" s="65"/>
      <c r="R70" s="65"/>
      <c r="S70" s="65"/>
      <c r="T70" s="65"/>
      <c r="U70" s="65"/>
    </row>
    <row r="71" spans="1:21" s="35" customFormat="1" ht="37.5">
      <c r="A71" s="74">
        <v>61</v>
      </c>
      <c r="B71" s="16" t="s">
        <v>465</v>
      </c>
      <c r="C71" s="8" t="s">
        <v>565</v>
      </c>
      <c r="D71" s="8"/>
      <c r="E71" s="17">
        <v>16000</v>
      </c>
      <c r="F71" s="29">
        <f>16000+570</f>
        <v>16570</v>
      </c>
      <c r="G71" s="8" t="s">
        <v>412</v>
      </c>
      <c r="H71" s="8"/>
      <c r="I71" s="8"/>
      <c r="J71" s="8"/>
      <c r="K71" s="8"/>
      <c r="L71" s="8" t="s">
        <v>125</v>
      </c>
      <c r="M71" s="29">
        <f>+รายการ!N66</f>
        <v>10420</v>
      </c>
      <c r="N71" s="29">
        <f>F71-M71</f>
        <v>6150</v>
      </c>
      <c r="O71" s="76"/>
      <c r="P71" s="19"/>
      <c r="Q71" s="65"/>
      <c r="R71" s="65"/>
      <c r="S71" s="65"/>
      <c r="T71" s="65"/>
      <c r="U71" s="65"/>
    </row>
    <row r="72" spans="1:21" s="35" customFormat="1" ht="37.5">
      <c r="A72" s="74">
        <v>62</v>
      </c>
      <c r="B72" s="19" t="s">
        <v>466</v>
      </c>
      <c r="C72" s="8" t="s">
        <v>565</v>
      </c>
      <c r="D72" s="8"/>
      <c r="E72" s="29">
        <v>470000</v>
      </c>
      <c r="F72" s="29">
        <f>470000-274000</f>
        <v>196000</v>
      </c>
      <c r="G72" s="8" t="s">
        <v>424</v>
      </c>
      <c r="H72" s="8"/>
      <c r="I72" s="8"/>
      <c r="J72" s="8"/>
      <c r="K72" s="8"/>
      <c r="L72" s="8" t="s">
        <v>125</v>
      </c>
      <c r="M72" s="29">
        <f>+รายการ!N67</f>
        <v>195560</v>
      </c>
      <c r="N72" s="29">
        <f>F72-M72</f>
        <v>440</v>
      </c>
      <c r="O72" s="76"/>
      <c r="P72" s="19"/>
      <c r="Q72" s="65"/>
      <c r="R72" s="65"/>
      <c r="S72" s="65"/>
      <c r="T72" s="65"/>
      <c r="U72" s="65"/>
    </row>
    <row r="73" spans="1:21" s="35" customFormat="1" ht="47.25">
      <c r="A73" s="74">
        <v>63</v>
      </c>
      <c r="B73" s="19" t="s">
        <v>549</v>
      </c>
      <c r="C73" s="8" t="s">
        <v>565</v>
      </c>
      <c r="D73" s="8"/>
      <c r="E73" s="29">
        <v>10000</v>
      </c>
      <c r="F73" s="29">
        <f>10000-1375-2000-570-6055</f>
        <v>0</v>
      </c>
      <c r="G73" s="8" t="s">
        <v>424</v>
      </c>
      <c r="H73" s="8"/>
      <c r="I73" s="8"/>
      <c r="J73" s="8"/>
      <c r="K73" s="8"/>
      <c r="L73" s="8"/>
      <c r="M73" s="29">
        <f>+รายการ!I68</f>
        <v>0</v>
      </c>
      <c r="N73" s="29">
        <f>F73-M73</f>
        <v>0</v>
      </c>
      <c r="O73" s="76"/>
      <c r="P73" s="14" t="s">
        <v>398</v>
      </c>
      <c r="Q73" s="65"/>
      <c r="R73" s="65"/>
      <c r="S73" s="65"/>
      <c r="T73" s="65"/>
      <c r="U73" s="65"/>
    </row>
    <row r="74" spans="1:21" s="35" customFormat="1">
      <c r="A74" s="74"/>
      <c r="B74" s="75" t="s">
        <v>168</v>
      </c>
      <c r="C74" s="8"/>
      <c r="D74" s="8"/>
      <c r="E74" s="29"/>
      <c r="F74" s="29"/>
      <c r="G74" s="8"/>
      <c r="H74" s="8"/>
      <c r="I74" s="8"/>
      <c r="J74" s="8"/>
      <c r="K74" s="8"/>
      <c r="L74" s="8"/>
      <c r="M74" s="29"/>
      <c r="N74" s="29"/>
      <c r="O74" s="76"/>
      <c r="P74" s="19"/>
      <c r="Q74" s="65"/>
      <c r="R74" s="65"/>
      <c r="S74" s="65"/>
      <c r="T74" s="65"/>
      <c r="U74" s="65"/>
    </row>
    <row r="75" spans="1:21" s="35" customFormat="1">
      <c r="A75" s="74">
        <v>64</v>
      </c>
      <c r="B75" s="16" t="s">
        <v>227</v>
      </c>
      <c r="C75" s="8" t="s">
        <v>168</v>
      </c>
      <c r="D75" s="8"/>
      <c r="E75" s="17">
        <v>100000</v>
      </c>
      <c r="F75" s="29">
        <f>100000+400000-50000</f>
        <v>450000</v>
      </c>
      <c r="G75" s="15" t="s">
        <v>424</v>
      </c>
      <c r="H75" s="8"/>
      <c r="I75" s="8"/>
      <c r="J75" s="8"/>
      <c r="K75" s="8"/>
      <c r="L75" s="8" t="s">
        <v>125</v>
      </c>
      <c r="M75" s="29">
        <f>+รายการ!N71</f>
        <v>42500</v>
      </c>
      <c r="N75" s="29">
        <f t="shared" ref="N75:N80" si="4">F75-M75</f>
        <v>407500</v>
      </c>
      <c r="O75" s="76"/>
      <c r="P75" s="19"/>
      <c r="Q75" s="65"/>
      <c r="R75" s="65"/>
      <c r="S75" s="65"/>
      <c r="T75" s="65"/>
      <c r="U75" s="65"/>
    </row>
    <row r="76" spans="1:21" s="35" customFormat="1">
      <c r="A76" s="74">
        <v>65</v>
      </c>
      <c r="B76" s="16" t="s">
        <v>96</v>
      </c>
      <c r="C76" s="8" t="s">
        <v>168</v>
      </c>
      <c r="D76" s="8"/>
      <c r="E76" s="17">
        <v>150000</v>
      </c>
      <c r="F76" s="29">
        <f>150000-90000</f>
        <v>60000</v>
      </c>
      <c r="G76" s="15" t="s">
        <v>424</v>
      </c>
      <c r="H76" s="8"/>
      <c r="I76" s="8"/>
      <c r="J76" s="8"/>
      <c r="K76" s="8"/>
      <c r="L76" s="8" t="s">
        <v>125</v>
      </c>
      <c r="M76" s="29">
        <f>+รายการ!N72</f>
        <v>50515</v>
      </c>
      <c r="N76" s="29">
        <f t="shared" si="4"/>
        <v>9485</v>
      </c>
      <c r="O76" s="76"/>
      <c r="P76" s="19"/>
      <c r="Q76" s="65"/>
      <c r="R76" s="65"/>
      <c r="S76" s="65"/>
      <c r="T76" s="65"/>
      <c r="U76" s="65"/>
    </row>
    <row r="77" spans="1:21" s="35" customFormat="1">
      <c r="A77" s="74">
        <v>66</v>
      </c>
      <c r="B77" s="16" t="s">
        <v>550</v>
      </c>
      <c r="C77" s="8" t="s">
        <v>168</v>
      </c>
      <c r="D77" s="8"/>
      <c r="E77" s="17">
        <v>100000</v>
      </c>
      <c r="F77" s="29">
        <f>100000-32000+106300+20000+101639.84+103544+30489.9</f>
        <v>429973.74</v>
      </c>
      <c r="G77" s="15" t="s">
        <v>424</v>
      </c>
      <c r="H77" s="8"/>
      <c r="I77" s="8"/>
      <c r="J77" s="8"/>
      <c r="K77" s="8"/>
      <c r="L77" s="8" t="s">
        <v>125</v>
      </c>
      <c r="M77" s="29">
        <f>+รายการ!N73</f>
        <v>17948</v>
      </c>
      <c r="N77" s="29">
        <f t="shared" si="4"/>
        <v>412025.74</v>
      </c>
      <c r="O77" s="76"/>
      <c r="P77" s="19"/>
      <c r="Q77" s="65"/>
      <c r="R77" s="65"/>
      <c r="S77" s="65"/>
      <c r="T77" s="65"/>
      <c r="U77" s="65"/>
    </row>
    <row r="78" spans="1:21" s="35" customFormat="1">
      <c r="A78" s="74">
        <v>67</v>
      </c>
      <c r="B78" s="16" t="s">
        <v>551</v>
      </c>
      <c r="C78" s="8" t="s">
        <v>168</v>
      </c>
      <c r="D78" s="8"/>
      <c r="E78" s="17">
        <v>100000</v>
      </c>
      <c r="F78" s="29">
        <f>+E78+50000</f>
        <v>150000</v>
      </c>
      <c r="G78" s="15" t="s">
        <v>424</v>
      </c>
      <c r="H78" s="8"/>
      <c r="I78" s="8"/>
      <c r="J78" s="8"/>
      <c r="K78" s="8"/>
      <c r="L78" s="8" t="s">
        <v>125</v>
      </c>
      <c r="M78" s="29">
        <f>+รายการ!N74</f>
        <v>150000</v>
      </c>
      <c r="N78" s="29">
        <f t="shared" si="4"/>
        <v>0</v>
      </c>
      <c r="O78" s="76"/>
      <c r="P78" s="19"/>
      <c r="Q78" s="65"/>
      <c r="R78" s="65"/>
      <c r="S78" s="65"/>
      <c r="T78" s="65"/>
      <c r="U78" s="65"/>
    </row>
    <row r="79" spans="1:21" s="35" customFormat="1" ht="56.25">
      <c r="A79" s="74">
        <v>68</v>
      </c>
      <c r="B79" s="16" t="s">
        <v>430</v>
      </c>
      <c r="C79" s="8" t="s">
        <v>168</v>
      </c>
      <c r="D79" s="8"/>
      <c r="E79" s="17">
        <v>32000</v>
      </c>
      <c r="F79" s="29">
        <f>32000-800</f>
        <v>31200</v>
      </c>
      <c r="G79" s="15" t="s">
        <v>424</v>
      </c>
      <c r="H79" s="8"/>
      <c r="I79" s="8"/>
      <c r="J79" s="8"/>
      <c r="K79" s="8"/>
      <c r="L79" s="8" t="s">
        <v>125</v>
      </c>
      <c r="M79" s="29">
        <v>31200</v>
      </c>
      <c r="N79" s="29">
        <f t="shared" si="4"/>
        <v>0</v>
      </c>
      <c r="O79" s="76"/>
      <c r="P79" s="19"/>
      <c r="Q79" s="65"/>
      <c r="R79" s="65"/>
      <c r="S79" s="65"/>
      <c r="T79" s="65"/>
      <c r="U79" s="65"/>
    </row>
    <row r="80" spans="1:21" s="35" customFormat="1" ht="37.5">
      <c r="A80" s="74">
        <v>69</v>
      </c>
      <c r="B80" s="16" t="s">
        <v>524</v>
      </c>
      <c r="C80" s="8" t="s">
        <v>168</v>
      </c>
      <c r="D80" s="8"/>
      <c r="E80" s="17">
        <v>6400</v>
      </c>
      <c r="F80" s="29">
        <f>6400-2000</f>
        <v>4400</v>
      </c>
      <c r="G80" s="15" t="s">
        <v>424</v>
      </c>
      <c r="H80" s="8"/>
      <c r="I80" s="8"/>
      <c r="J80" s="8"/>
      <c r="K80" s="8"/>
      <c r="L80" s="8" t="s">
        <v>125</v>
      </c>
      <c r="M80" s="29">
        <v>4400</v>
      </c>
      <c r="N80" s="29">
        <f t="shared" si="4"/>
        <v>0</v>
      </c>
      <c r="O80" s="76"/>
      <c r="P80" s="19"/>
      <c r="Q80" s="65"/>
      <c r="R80" s="65"/>
      <c r="S80" s="65"/>
      <c r="T80" s="65"/>
      <c r="U80" s="65"/>
    </row>
    <row r="81" spans="1:21" s="35" customFormat="1" ht="56.25">
      <c r="A81" s="74">
        <v>70</v>
      </c>
      <c r="B81" s="16" t="s">
        <v>634</v>
      </c>
      <c r="C81" s="8" t="s">
        <v>168</v>
      </c>
      <c r="D81" s="8"/>
      <c r="E81" s="17">
        <v>39400</v>
      </c>
      <c r="F81" s="29"/>
      <c r="G81" s="15" t="s">
        <v>424</v>
      </c>
      <c r="H81" s="8"/>
      <c r="I81" s="8"/>
      <c r="J81" s="8"/>
      <c r="K81" s="8"/>
      <c r="L81" s="8" t="s">
        <v>125</v>
      </c>
      <c r="M81" s="29">
        <v>39400</v>
      </c>
      <c r="N81" s="29">
        <f t="shared" ref="N81:N87" si="5">E81-M81</f>
        <v>0</v>
      </c>
      <c r="O81" s="76"/>
      <c r="P81" s="19"/>
      <c r="Q81" s="65"/>
      <c r="R81" s="65"/>
      <c r="S81" s="65"/>
      <c r="T81" s="65"/>
      <c r="U81" s="65"/>
    </row>
    <row r="82" spans="1:21" s="35" customFormat="1" ht="93.75">
      <c r="A82" s="74">
        <v>71</v>
      </c>
      <c r="B82" s="16" t="s">
        <v>633</v>
      </c>
      <c r="C82" s="8" t="s">
        <v>168</v>
      </c>
      <c r="D82" s="8"/>
      <c r="E82" s="17">
        <v>157600</v>
      </c>
      <c r="F82" s="29"/>
      <c r="G82" s="15" t="s">
        <v>424</v>
      </c>
      <c r="H82" s="8"/>
      <c r="I82" s="8"/>
      <c r="J82" s="8"/>
      <c r="K82" s="8"/>
      <c r="L82" s="8" t="s">
        <v>125</v>
      </c>
      <c r="M82" s="29">
        <v>130700</v>
      </c>
      <c r="N82" s="29">
        <f>E82-M82</f>
        <v>26900</v>
      </c>
      <c r="O82" s="76"/>
      <c r="P82" s="19"/>
      <c r="Q82" s="65"/>
      <c r="R82" s="65"/>
      <c r="S82" s="65"/>
      <c r="T82" s="65"/>
      <c r="U82" s="65"/>
    </row>
    <row r="83" spans="1:21" s="35" customFormat="1" ht="56.25">
      <c r="A83" s="74">
        <v>72</v>
      </c>
      <c r="B83" s="16" t="s">
        <v>567</v>
      </c>
      <c r="C83" s="8" t="s">
        <v>168</v>
      </c>
      <c r="D83" s="8"/>
      <c r="E83" s="17">
        <v>265000</v>
      </c>
      <c r="F83" s="29"/>
      <c r="G83" s="15" t="s">
        <v>424</v>
      </c>
      <c r="H83" s="8"/>
      <c r="I83" s="8"/>
      <c r="J83" s="8"/>
      <c r="K83" s="8"/>
      <c r="L83" s="8" t="s">
        <v>125</v>
      </c>
      <c r="M83" s="29">
        <v>196000</v>
      </c>
      <c r="N83" s="29">
        <f t="shared" si="5"/>
        <v>69000</v>
      </c>
      <c r="O83" s="76"/>
      <c r="P83" s="19"/>
      <c r="Q83" s="65"/>
      <c r="R83" s="65"/>
      <c r="S83" s="65"/>
      <c r="T83" s="65"/>
      <c r="U83" s="65"/>
    </row>
    <row r="84" spans="1:21" s="35" customFormat="1" ht="56.25">
      <c r="A84" s="74">
        <v>73</v>
      </c>
      <c r="B84" s="16" t="s">
        <v>474</v>
      </c>
      <c r="C84" s="8" t="s">
        <v>168</v>
      </c>
      <c r="D84" s="8"/>
      <c r="E84" s="17">
        <v>99300</v>
      </c>
      <c r="F84" s="29"/>
      <c r="G84" s="15" t="s">
        <v>424</v>
      </c>
      <c r="H84" s="8"/>
      <c r="I84" s="8"/>
      <c r="J84" s="8"/>
      <c r="K84" s="8"/>
      <c r="L84" s="8" t="s">
        <v>125</v>
      </c>
      <c r="M84" s="29">
        <v>99300</v>
      </c>
      <c r="N84" s="29">
        <f t="shared" si="5"/>
        <v>0</v>
      </c>
      <c r="O84" s="76"/>
      <c r="P84" s="19"/>
      <c r="Q84" s="65"/>
      <c r="R84" s="65"/>
      <c r="S84" s="65"/>
      <c r="T84" s="65"/>
      <c r="U84" s="65"/>
    </row>
    <row r="85" spans="1:21" s="35" customFormat="1" ht="56.25">
      <c r="A85" s="74">
        <v>74</v>
      </c>
      <c r="B85" s="16" t="s">
        <v>552</v>
      </c>
      <c r="C85" s="8" t="s">
        <v>168</v>
      </c>
      <c r="D85" s="8"/>
      <c r="E85" s="17">
        <v>121200</v>
      </c>
      <c r="F85" s="29"/>
      <c r="G85" s="15" t="s">
        <v>424</v>
      </c>
      <c r="H85" s="8"/>
      <c r="I85" s="8"/>
      <c r="J85" s="8"/>
      <c r="K85" s="8"/>
      <c r="L85" s="8" t="s">
        <v>125</v>
      </c>
      <c r="M85" s="29">
        <v>121200</v>
      </c>
      <c r="N85" s="29">
        <f t="shared" si="5"/>
        <v>0</v>
      </c>
      <c r="O85" s="76"/>
      <c r="P85" s="19"/>
      <c r="Q85" s="65"/>
      <c r="R85" s="65"/>
      <c r="S85" s="65"/>
      <c r="T85" s="65"/>
      <c r="U85" s="65"/>
    </row>
    <row r="86" spans="1:21" s="35" customFormat="1" ht="37.5">
      <c r="A86" s="74">
        <v>75</v>
      </c>
      <c r="B86" s="16" t="s">
        <v>553</v>
      </c>
      <c r="C86" s="8" t="s">
        <v>168</v>
      </c>
      <c r="D86" s="8"/>
      <c r="E86" s="17">
        <v>99700</v>
      </c>
      <c r="F86" s="29"/>
      <c r="G86" s="15" t="s">
        <v>424</v>
      </c>
      <c r="H86" s="8"/>
      <c r="I86" s="8"/>
      <c r="J86" s="8"/>
      <c r="K86" s="8"/>
      <c r="L86" s="8" t="s">
        <v>125</v>
      </c>
      <c r="M86" s="281">
        <v>99700</v>
      </c>
      <c r="N86" s="29">
        <f t="shared" si="5"/>
        <v>0</v>
      </c>
      <c r="O86" s="76"/>
      <c r="P86" s="19"/>
      <c r="Q86" s="65"/>
      <c r="R86" s="65"/>
      <c r="S86" s="65"/>
      <c r="T86" s="65"/>
      <c r="U86" s="65"/>
    </row>
    <row r="87" spans="1:21" s="35" customFormat="1" ht="37.5">
      <c r="A87" s="74">
        <v>76</v>
      </c>
      <c r="B87" s="16" t="s">
        <v>554</v>
      </c>
      <c r="C87" s="8" t="s">
        <v>168</v>
      </c>
      <c r="D87" s="8"/>
      <c r="E87" s="17">
        <v>99500</v>
      </c>
      <c r="F87" s="29"/>
      <c r="G87" s="15" t="s">
        <v>424</v>
      </c>
      <c r="H87" s="8"/>
      <c r="I87" s="8"/>
      <c r="J87" s="8"/>
      <c r="K87" s="8"/>
      <c r="L87" s="8" t="s">
        <v>125</v>
      </c>
      <c r="M87" s="29">
        <v>99500</v>
      </c>
      <c r="N87" s="29">
        <f t="shared" si="5"/>
        <v>0</v>
      </c>
      <c r="O87" s="76"/>
      <c r="P87" s="19"/>
      <c r="Q87" s="65"/>
      <c r="R87" s="65"/>
      <c r="S87" s="65"/>
      <c r="T87" s="65"/>
      <c r="U87" s="65"/>
    </row>
    <row r="88" spans="1:21" s="35" customFormat="1" ht="37.5">
      <c r="A88" s="74">
        <v>77</v>
      </c>
      <c r="B88" s="16" t="s">
        <v>379</v>
      </c>
      <c r="C88" s="8" t="s">
        <v>168</v>
      </c>
      <c r="D88" s="8"/>
      <c r="E88" s="17">
        <v>227500</v>
      </c>
      <c r="F88" s="29">
        <f>227500-3400</f>
        <v>224100</v>
      </c>
      <c r="G88" s="15" t="s">
        <v>424</v>
      </c>
      <c r="H88" s="8"/>
      <c r="I88" s="8"/>
      <c r="J88" s="8"/>
      <c r="K88" s="8"/>
      <c r="L88" s="8" t="s">
        <v>125</v>
      </c>
      <c r="M88" s="29">
        <v>224100</v>
      </c>
      <c r="N88" s="29">
        <f>F88-M88</f>
        <v>0</v>
      </c>
      <c r="O88" s="76"/>
      <c r="P88" s="19"/>
      <c r="Q88" s="65"/>
      <c r="R88" s="65"/>
      <c r="S88" s="65"/>
      <c r="T88" s="65"/>
      <c r="U88" s="65"/>
    </row>
    <row r="89" spans="1:21" s="35" customFormat="1" ht="37.5">
      <c r="A89" s="74">
        <v>78</v>
      </c>
      <c r="B89" s="16" t="s">
        <v>380</v>
      </c>
      <c r="C89" s="8" t="s">
        <v>168</v>
      </c>
      <c r="D89" s="8"/>
      <c r="E89" s="17">
        <v>99900</v>
      </c>
      <c r="F89" s="29">
        <f>99900-6500</f>
        <v>93400</v>
      </c>
      <c r="G89" s="15" t="s">
        <v>424</v>
      </c>
      <c r="H89" s="8"/>
      <c r="I89" s="8"/>
      <c r="J89" s="8"/>
      <c r="K89" s="8"/>
      <c r="L89" s="8" t="s">
        <v>125</v>
      </c>
      <c r="M89" s="29">
        <v>93400</v>
      </c>
      <c r="N89" s="29">
        <f>F89-M89</f>
        <v>0</v>
      </c>
      <c r="O89" s="76"/>
      <c r="P89" s="19"/>
      <c r="Q89" s="65"/>
      <c r="R89" s="65"/>
      <c r="S89" s="65"/>
      <c r="T89" s="65"/>
      <c r="U89" s="65"/>
    </row>
    <row r="90" spans="1:21" s="35" customFormat="1" ht="37.5">
      <c r="A90" s="74">
        <v>79</v>
      </c>
      <c r="B90" s="16" t="s">
        <v>381</v>
      </c>
      <c r="C90" s="8" t="s">
        <v>168</v>
      </c>
      <c r="D90" s="8"/>
      <c r="E90" s="17">
        <v>243700</v>
      </c>
      <c r="F90" s="29">
        <f>243700-16500</f>
        <v>227200</v>
      </c>
      <c r="G90" s="15" t="s">
        <v>424</v>
      </c>
      <c r="H90" s="8"/>
      <c r="I90" s="8"/>
      <c r="J90" s="8"/>
      <c r="K90" s="8"/>
      <c r="L90" s="8" t="s">
        <v>125</v>
      </c>
      <c r="M90" s="29">
        <v>227200</v>
      </c>
      <c r="N90" s="29">
        <f>F90-M90</f>
        <v>0</v>
      </c>
      <c r="O90" s="76"/>
      <c r="P90" s="19"/>
      <c r="Q90" s="65"/>
      <c r="R90" s="65"/>
      <c r="S90" s="65"/>
      <c r="T90" s="65"/>
      <c r="U90" s="65"/>
    </row>
    <row r="91" spans="1:21" s="35" customFormat="1" ht="37.5">
      <c r="A91" s="74">
        <v>80</v>
      </c>
      <c r="B91" s="16" t="s">
        <v>478</v>
      </c>
      <c r="C91" s="8" t="s">
        <v>168</v>
      </c>
      <c r="D91" s="8"/>
      <c r="E91" s="17">
        <v>165000</v>
      </c>
      <c r="F91" s="29">
        <f>165000-1900</f>
        <v>163100</v>
      </c>
      <c r="G91" s="15" t="s">
        <v>424</v>
      </c>
      <c r="H91" s="8"/>
      <c r="I91" s="8"/>
      <c r="J91" s="8"/>
      <c r="K91" s="8"/>
      <c r="L91" s="8" t="s">
        <v>125</v>
      </c>
      <c r="M91" s="29">
        <v>163100</v>
      </c>
      <c r="N91" s="29">
        <f>F91-M91</f>
        <v>0</v>
      </c>
      <c r="O91" s="76"/>
      <c r="P91" s="19"/>
      <c r="Q91" s="65"/>
      <c r="R91" s="65"/>
      <c r="S91" s="65"/>
      <c r="T91" s="65"/>
      <c r="U91" s="65"/>
    </row>
    <row r="92" spans="1:21" s="35" customFormat="1" ht="37.5">
      <c r="A92" s="74">
        <v>81</v>
      </c>
      <c r="B92" s="16" t="s">
        <v>555</v>
      </c>
      <c r="C92" s="8" t="s">
        <v>168</v>
      </c>
      <c r="D92" s="8"/>
      <c r="E92" s="17">
        <v>165000</v>
      </c>
      <c r="F92" s="29"/>
      <c r="G92" s="15" t="s">
        <v>424</v>
      </c>
      <c r="H92" s="8"/>
      <c r="I92" s="8"/>
      <c r="J92" s="8"/>
      <c r="K92" s="8"/>
      <c r="L92" s="8" t="s">
        <v>125</v>
      </c>
      <c r="M92" s="29">
        <f>+รายการ!N87</f>
        <v>164500</v>
      </c>
      <c r="N92" s="29">
        <f>E92-M92</f>
        <v>500</v>
      </c>
      <c r="O92" s="76"/>
      <c r="P92" s="19"/>
      <c r="Q92" s="65"/>
      <c r="R92" s="65"/>
      <c r="S92" s="65"/>
      <c r="T92" s="65"/>
      <c r="U92" s="65"/>
    </row>
    <row r="93" spans="1:21" s="35" customFormat="1" ht="56.25">
      <c r="A93" s="74">
        <v>82</v>
      </c>
      <c r="B93" s="16" t="s">
        <v>382</v>
      </c>
      <c r="C93" s="8" t="s">
        <v>168</v>
      </c>
      <c r="D93" s="8"/>
      <c r="E93" s="17">
        <v>197000</v>
      </c>
      <c r="F93" s="29">
        <f>197000-54000</f>
        <v>143000</v>
      </c>
      <c r="G93" s="15" t="s">
        <v>424</v>
      </c>
      <c r="H93" s="8"/>
      <c r="I93" s="8"/>
      <c r="J93" s="8"/>
      <c r="K93" s="8"/>
      <c r="L93" s="8" t="s">
        <v>125</v>
      </c>
      <c r="M93" s="29">
        <f>+รายการ!I88</f>
        <v>143000</v>
      </c>
      <c r="N93" s="29">
        <f>F93-M93</f>
        <v>0</v>
      </c>
      <c r="O93" s="76"/>
      <c r="P93" s="19"/>
      <c r="Q93" s="65"/>
      <c r="R93" s="65"/>
      <c r="S93" s="65"/>
      <c r="T93" s="65"/>
      <c r="U93" s="65"/>
    </row>
    <row r="94" spans="1:21" s="35" customFormat="1" ht="56.25">
      <c r="A94" s="74">
        <v>83</v>
      </c>
      <c r="B94" s="16" t="s">
        <v>556</v>
      </c>
      <c r="C94" s="8" t="s">
        <v>168</v>
      </c>
      <c r="D94" s="8"/>
      <c r="E94" s="17">
        <v>213000</v>
      </c>
      <c r="F94" s="29"/>
      <c r="G94" s="15" t="s">
        <v>424</v>
      </c>
      <c r="H94" s="8"/>
      <c r="I94" s="8"/>
      <c r="J94" s="8"/>
      <c r="K94" s="8"/>
      <c r="L94" s="8" t="s">
        <v>125</v>
      </c>
      <c r="M94" s="29">
        <v>213000</v>
      </c>
      <c r="N94" s="29">
        <f>E94-M94</f>
        <v>0</v>
      </c>
      <c r="O94" s="76"/>
      <c r="P94" s="19"/>
      <c r="Q94" s="65"/>
      <c r="R94" s="65"/>
      <c r="S94" s="65"/>
      <c r="T94" s="65"/>
      <c r="U94" s="65"/>
    </row>
    <row r="95" spans="1:21" s="35" customFormat="1" ht="56.25">
      <c r="A95" s="74">
        <v>84</v>
      </c>
      <c r="B95" s="16" t="s">
        <v>383</v>
      </c>
      <c r="C95" s="8" t="s">
        <v>168</v>
      </c>
      <c r="D95" s="8"/>
      <c r="E95" s="17">
        <v>139000</v>
      </c>
      <c r="F95" s="29"/>
      <c r="G95" s="15" t="s">
        <v>424</v>
      </c>
      <c r="H95" s="8"/>
      <c r="I95" s="8"/>
      <c r="J95" s="8"/>
      <c r="K95" s="8"/>
      <c r="L95" s="8" t="s">
        <v>125</v>
      </c>
      <c r="M95" s="29">
        <v>139000</v>
      </c>
      <c r="N95" s="29">
        <f>E95-M95</f>
        <v>0</v>
      </c>
      <c r="O95" s="76"/>
      <c r="P95" s="19"/>
      <c r="Q95" s="65"/>
      <c r="R95" s="65"/>
      <c r="S95" s="65"/>
      <c r="T95" s="65"/>
      <c r="U95" s="65"/>
    </row>
    <row r="96" spans="1:21" s="35" customFormat="1" ht="37.5">
      <c r="A96" s="74">
        <v>85</v>
      </c>
      <c r="B96" s="16" t="s">
        <v>569</v>
      </c>
      <c r="C96" s="8" t="s">
        <v>168</v>
      </c>
      <c r="D96" s="8"/>
      <c r="E96" s="17">
        <v>99000</v>
      </c>
      <c r="F96" s="29">
        <f>99000-350</f>
        <v>98650</v>
      </c>
      <c r="G96" s="15" t="s">
        <v>424</v>
      </c>
      <c r="H96" s="8"/>
      <c r="I96" s="8"/>
      <c r="J96" s="8"/>
      <c r="K96" s="8"/>
      <c r="L96" s="8" t="s">
        <v>125</v>
      </c>
      <c r="M96" s="29">
        <v>98650</v>
      </c>
      <c r="N96" s="29">
        <f>F96-M96</f>
        <v>0</v>
      </c>
      <c r="O96" s="76"/>
      <c r="P96" s="19"/>
      <c r="Q96" s="65"/>
      <c r="R96" s="65"/>
      <c r="S96" s="65"/>
      <c r="T96" s="65"/>
      <c r="U96" s="65"/>
    </row>
    <row r="97" spans="1:21" s="35" customFormat="1" ht="37.5">
      <c r="A97" s="74">
        <v>86</v>
      </c>
      <c r="B97" s="16" t="s">
        <v>557</v>
      </c>
      <c r="C97" s="8" t="s">
        <v>168</v>
      </c>
      <c r="D97" s="8"/>
      <c r="E97" s="17">
        <v>99600</v>
      </c>
      <c r="F97" s="29"/>
      <c r="G97" s="15" t="s">
        <v>424</v>
      </c>
      <c r="H97" s="8"/>
      <c r="I97" s="8"/>
      <c r="J97" s="8"/>
      <c r="K97" s="8"/>
      <c r="L97" s="8" t="s">
        <v>125</v>
      </c>
      <c r="M97" s="29">
        <v>99600</v>
      </c>
      <c r="N97" s="29">
        <f>E97-M97</f>
        <v>0</v>
      </c>
      <c r="O97" s="76"/>
      <c r="P97" s="19"/>
      <c r="Q97" s="65"/>
      <c r="R97" s="65"/>
      <c r="S97" s="65"/>
      <c r="T97" s="65"/>
      <c r="U97" s="65"/>
    </row>
    <row r="98" spans="1:21" s="35" customFormat="1" ht="37.5">
      <c r="A98" s="74">
        <v>87</v>
      </c>
      <c r="B98" s="16" t="s">
        <v>558</v>
      </c>
      <c r="C98" s="8" t="s">
        <v>168</v>
      </c>
      <c r="D98" s="8"/>
      <c r="E98" s="17">
        <v>99500</v>
      </c>
      <c r="F98" s="29">
        <f>99500-500</f>
        <v>99000</v>
      </c>
      <c r="G98" s="15" t="s">
        <v>424</v>
      </c>
      <c r="H98" s="8"/>
      <c r="I98" s="8"/>
      <c r="J98" s="8"/>
      <c r="K98" s="8"/>
      <c r="L98" s="8" t="s">
        <v>125</v>
      </c>
      <c r="M98" s="29">
        <v>99000</v>
      </c>
      <c r="N98" s="29">
        <f>F98-M98</f>
        <v>0</v>
      </c>
      <c r="O98" s="76"/>
      <c r="P98" s="19"/>
      <c r="Q98" s="65"/>
      <c r="R98" s="65"/>
      <c r="S98" s="65"/>
      <c r="T98" s="65"/>
      <c r="U98" s="65"/>
    </row>
    <row r="99" spans="1:21" s="35" customFormat="1" ht="37.5">
      <c r="A99" s="74">
        <v>88</v>
      </c>
      <c r="B99" s="16" t="s">
        <v>559</v>
      </c>
      <c r="C99" s="8" t="s">
        <v>168</v>
      </c>
      <c r="D99" s="8"/>
      <c r="E99" s="17">
        <v>99700</v>
      </c>
      <c r="F99" s="29">
        <f>99700-500</f>
        <v>99200</v>
      </c>
      <c r="G99" s="15" t="s">
        <v>424</v>
      </c>
      <c r="H99" s="8"/>
      <c r="I99" s="8"/>
      <c r="J99" s="8"/>
      <c r="K99" s="8"/>
      <c r="L99" s="8" t="s">
        <v>125</v>
      </c>
      <c r="M99" s="29">
        <v>99200</v>
      </c>
      <c r="N99" s="29">
        <f>F99-M99</f>
        <v>0</v>
      </c>
      <c r="O99" s="76"/>
      <c r="P99" s="19"/>
      <c r="Q99" s="65"/>
      <c r="R99" s="65"/>
      <c r="S99" s="65"/>
      <c r="T99" s="65"/>
      <c r="U99" s="65"/>
    </row>
    <row r="100" spans="1:21" s="35" customFormat="1" ht="37.5">
      <c r="A100" s="74">
        <v>89</v>
      </c>
      <c r="B100" s="16" t="s">
        <v>560</v>
      </c>
      <c r="C100" s="8" t="s">
        <v>168</v>
      </c>
      <c r="D100" s="8"/>
      <c r="E100" s="17">
        <v>99400</v>
      </c>
      <c r="F100" s="29">
        <f>99400-400</f>
        <v>99000</v>
      </c>
      <c r="G100" s="15" t="s">
        <v>424</v>
      </c>
      <c r="H100" s="8"/>
      <c r="I100" s="8"/>
      <c r="J100" s="8"/>
      <c r="K100" s="8"/>
      <c r="L100" s="8" t="s">
        <v>125</v>
      </c>
      <c r="M100" s="29">
        <v>99000</v>
      </c>
      <c r="N100" s="29">
        <f>F100-M100</f>
        <v>0</v>
      </c>
      <c r="O100" s="76"/>
      <c r="P100" s="19"/>
      <c r="Q100" s="65"/>
      <c r="R100" s="65"/>
      <c r="S100" s="65"/>
      <c r="T100" s="65"/>
      <c r="U100" s="65"/>
    </row>
    <row r="101" spans="1:21" s="35" customFormat="1">
      <c r="A101" s="74">
        <v>90</v>
      </c>
      <c r="B101" s="16" t="s">
        <v>102</v>
      </c>
      <c r="C101" s="8" t="s">
        <v>168</v>
      </c>
      <c r="D101" s="8"/>
      <c r="E101" s="17">
        <v>100000</v>
      </c>
      <c r="F101" s="29"/>
      <c r="G101" s="15" t="s">
        <v>424</v>
      </c>
      <c r="H101" s="8"/>
      <c r="I101" s="8"/>
      <c r="J101" s="8"/>
      <c r="K101" s="8"/>
      <c r="L101" s="8" t="s">
        <v>125</v>
      </c>
      <c r="M101" s="29">
        <f>+รายการ!N96</f>
        <v>530</v>
      </c>
      <c r="N101" s="29">
        <f>E101-M101</f>
        <v>99470</v>
      </c>
      <c r="O101" s="76"/>
      <c r="P101" s="19"/>
      <c r="Q101" s="65"/>
      <c r="R101" s="65"/>
      <c r="S101" s="65"/>
      <c r="T101" s="65"/>
      <c r="U101" s="65"/>
    </row>
    <row r="102" spans="1:21" s="35" customFormat="1" ht="56.25">
      <c r="A102" s="74">
        <v>91</v>
      </c>
      <c r="B102" s="16" t="s">
        <v>561</v>
      </c>
      <c r="C102" s="8" t="s">
        <v>168</v>
      </c>
      <c r="D102" s="8"/>
      <c r="E102" s="17">
        <v>97900</v>
      </c>
      <c r="F102" s="29">
        <f>97900-70000</f>
        <v>27900</v>
      </c>
      <c r="G102" s="15" t="s">
        <v>424</v>
      </c>
      <c r="H102" s="8"/>
      <c r="I102" s="8"/>
      <c r="J102" s="8"/>
      <c r="K102" s="8"/>
      <c r="L102" s="8" t="s">
        <v>125</v>
      </c>
      <c r="M102" s="29">
        <f>+รายการ!N97</f>
        <v>24400</v>
      </c>
      <c r="N102" s="29">
        <f>F102-M102</f>
        <v>3500</v>
      </c>
      <c r="O102" s="76"/>
      <c r="P102" s="19"/>
      <c r="Q102" s="65"/>
      <c r="R102" s="65"/>
      <c r="S102" s="65"/>
      <c r="T102" s="65"/>
      <c r="U102" s="65"/>
    </row>
    <row r="103" spans="1:21" s="35" customFormat="1" ht="37.5">
      <c r="A103" s="74">
        <v>92</v>
      </c>
      <c r="B103" s="16" t="s">
        <v>520</v>
      </c>
      <c r="C103" s="8" t="s">
        <v>168</v>
      </c>
      <c r="D103" s="8"/>
      <c r="E103" s="17">
        <v>2694400</v>
      </c>
      <c r="F103" s="29"/>
      <c r="G103" s="15" t="s">
        <v>424</v>
      </c>
      <c r="H103" s="8"/>
      <c r="I103" s="8"/>
      <c r="J103" s="8"/>
      <c r="K103" s="8"/>
      <c r="L103" s="8" t="s">
        <v>125</v>
      </c>
      <c r="M103" s="29">
        <v>2425042</v>
      </c>
      <c r="N103" s="29">
        <f t="shared" ref="N103:N109" si="6">E103-M103</f>
        <v>269358</v>
      </c>
      <c r="O103" s="76"/>
      <c r="P103" s="19"/>
      <c r="Q103" s="65"/>
      <c r="R103" s="65"/>
      <c r="S103" s="65"/>
      <c r="T103" s="65"/>
      <c r="U103" s="65"/>
    </row>
    <row r="104" spans="1:21" s="35" customFormat="1" ht="37.5">
      <c r="A104" s="74">
        <v>93</v>
      </c>
      <c r="B104" s="16" t="s">
        <v>521</v>
      </c>
      <c r="C104" s="8" t="s">
        <v>168</v>
      </c>
      <c r="D104" s="8"/>
      <c r="E104" s="17">
        <v>2694400</v>
      </c>
      <c r="F104" s="29"/>
      <c r="G104" s="15" t="s">
        <v>424</v>
      </c>
      <c r="H104" s="8"/>
      <c r="I104" s="8"/>
      <c r="J104" s="8"/>
      <c r="K104" s="8"/>
      <c r="L104" s="8" t="s">
        <v>125</v>
      </c>
      <c r="M104" s="29">
        <v>2347042</v>
      </c>
      <c r="N104" s="29">
        <f t="shared" si="6"/>
        <v>347358</v>
      </c>
      <c r="O104" s="76"/>
      <c r="P104" s="19"/>
      <c r="Q104" s="65"/>
      <c r="R104" s="65"/>
      <c r="S104" s="65"/>
      <c r="T104" s="65"/>
      <c r="U104" s="65"/>
    </row>
    <row r="105" spans="1:21" s="35" customFormat="1" ht="37.5">
      <c r="A105" s="74">
        <v>94</v>
      </c>
      <c r="B105" s="16" t="s">
        <v>522</v>
      </c>
      <c r="C105" s="8" t="s">
        <v>168</v>
      </c>
      <c r="D105" s="8"/>
      <c r="E105" s="17">
        <v>499700</v>
      </c>
      <c r="F105" s="29"/>
      <c r="G105" s="15" t="s">
        <v>568</v>
      </c>
      <c r="H105" s="8"/>
      <c r="I105" s="8"/>
      <c r="J105" s="8"/>
      <c r="K105" s="8"/>
      <c r="L105" s="8" t="s">
        <v>125</v>
      </c>
      <c r="M105" s="29">
        <v>499700</v>
      </c>
      <c r="N105" s="29">
        <f t="shared" si="6"/>
        <v>0</v>
      </c>
      <c r="O105" s="76"/>
      <c r="P105" s="19"/>
      <c r="Q105" s="65"/>
      <c r="R105" s="65"/>
      <c r="S105" s="65"/>
      <c r="T105" s="65"/>
      <c r="U105" s="65"/>
    </row>
    <row r="106" spans="1:21" s="35" customFormat="1">
      <c r="A106" s="74">
        <v>95</v>
      </c>
      <c r="B106" s="16" t="s">
        <v>421</v>
      </c>
      <c r="C106" s="8" t="s">
        <v>168</v>
      </c>
      <c r="D106" s="8"/>
      <c r="E106" s="17">
        <v>303773</v>
      </c>
      <c r="F106" s="29"/>
      <c r="G106" s="15" t="s">
        <v>568</v>
      </c>
      <c r="H106" s="8"/>
      <c r="I106" s="8"/>
      <c r="J106" s="8"/>
      <c r="K106" s="8"/>
      <c r="L106" s="8" t="s">
        <v>125</v>
      </c>
      <c r="M106" s="29">
        <v>300000</v>
      </c>
      <c r="N106" s="29">
        <f t="shared" si="6"/>
        <v>3773</v>
      </c>
      <c r="O106" s="76"/>
      <c r="P106" s="19"/>
      <c r="Q106" s="65"/>
      <c r="R106" s="65"/>
      <c r="S106" s="65"/>
      <c r="T106" s="65"/>
      <c r="U106" s="65"/>
    </row>
    <row r="107" spans="1:21" s="35" customFormat="1" ht="37.5">
      <c r="A107" s="74">
        <v>96</v>
      </c>
      <c r="B107" s="16" t="s">
        <v>562</v>
      </c>
      <c r="C107" s="8" t="s">
        <v>168</v>
      </c>
      <c r="D107" s="8"/>
      <c r="E107" s="17">
        <v>181000</v>
      </c>
      <c r="F107" s="29"/>
      <c r="G107" s="15" t="s">
        <v>568</v>
      </c>
      <c r="H107" s="8"/>
      <c r="I107" s="8"/>
      <c r="J107" s="8"/>
      <c r="K107" s="8"/>
      <c r="L107" s="8" t="s">
        <v>125</v>
      </c>
      <c r="M107" s="29">
        <v>181000</v>
      </c>
      <c r="N107" s="29">
        <f t="shared" si="6"/>
        <v>0</v>
      </c>
      <c r="O107" s="76"/>
      <c r="P107" s="19"/>
      <c r="Q107" s="65"/>
      <c r="R107" s="65"/>
      <c r="S107" s="65"/>
      <c r="T107" s="65"/>
      <c r="U107" s="65"/>
    </row>
    <row r="108" spans="1:21" s="35" customFormat="1" ht="37.5">
      <c r="A108" s="74">
        <v>97</v>
      </c>
      <c r="B108" s="16" t="s">
        <v>563</v>
      </c>
      <c r="C108" s="8" t="s">
        <v>168</v>
      </c>
      <c r="D108" s="8"/>
      <c r="E108" s="17">
        <v>171000</v>
      </c>
      <c r="F108" s="29"/>
      <c r="G108" s="15" t="s">
        <v>568</v>
      </c>
      <c r="H108" s="8"/>
      <c r="I108" s="8"/>
      <c r="J108" s="8"/>
      <c r="K108" s="8"/>
      <c r="L108" s="8" t="s">
        <v>125</v>
      </c>
      <c r="M108" s="29">
        <v>171000</v>
      </c>
      <c r="N108" s="29">
        <f t="shared" si="6"/>
        <v>0</v>
      </c>
      <c r="O108" s="76"/>
      <c r="P108" s="19"/>
      <c r="Q108" s="65"/>
      <c r="R108" s="65"/>
      <c r="S108" s="65"/>
      <c r="T108" s="65"/>
      <c r="U108" s="65"/>
    </row>
    <row r="109" spans="1:21" s="35" customFormat="1" ht="37.5">
      <c r="A109" s="74">
        <v>98</v>
      </c>
      <c r="B109" s="16" t="s">
        <v>564</v>
      </c>
      <c r="C109" s="8" t="s">
        <v>168</v>
      </c>
      <c r="D109" s="8"/>
      <c r="E109" s="17">
        <v>148000</v>
      </c>
      <c r="F109" s="29"/>
      <c r="G109" s="8" t="s">
        <v>568</v>
      </c>
      <c r="H109" s="8"/>
      <c r="I109" s="8"/>
      <c r="J109" s="8"/>
      <c r="K109" s="8"/>
      <c r="L109" s="8" t="s">
        <v>125</v>
      </c>
      <c r="M109" s="29">
        <v>148000</v>
      </c>
      <c r="N109" s="29">
        <f t="shared" si="6"/>
        <v>0</v>
      </c>
      <c r="O109" s="76"/>
      <c r="P109" s="19"/>
      <c r="Q109" s="65"/>
      <c r="R109" s="65"/>
      <c r="S109" s="65"/>
      <c r="T109" s="65"/>
      <c r="U109" s="65"/>
    </row>
    <row r="110" spans="1:21">
      <c r="A110" s="25"/>
      <c r="B110" s="26"/>
      <c r="C110" s="25"/>
      <c r="D110" s="25"/>
      <c r="E110" s="27"/>
      <c r="F110" s="27"/>
      <c r="G110" s="25"/>
      <c r="H110" s="26"/>
      <c r="I110" s="26"/>
      <c r="J110" s="26"/>
      <c r="K110" s="26"/>
      <c r="L110" s="25"/>
      <c r="M110" s="27"/>
      <c r="N110" s="27"/>
      <c r="O110" s="276"/>
      <c r="P110" s="26"/>
    </row>
    <row r="111" spans="1:21" s="79" customFormat="1">
      <c r="A111" s="77"/>
      <c r="B111" s="77"/>
      <c r="C111" s="77" t="s">
        <v>399</v>
      </c>
      <c r="D111" s="77" t="s">
        <v>400</v>
      </c>
      <c r="E111" s="78"/>
      <c r="F111" s="78"/>
      <c r="G111" s="77"/>
      <c r="H111" s="77"/>
      <c r="I111" s="77"/>
      <c r="J111" s="77"/>
      <c r="K111" s="77"/>
      <c r="L111" s="77"/>
      <c r="M111" s="78"/>
      <c r="N111" s="78"/>
      <c r="O111" s="277"/>
      <c r="P111" s="77"/>
      <c r="Q111" s="77"/>
      <c r="R111" s="77"/>
      <c r="S111" s="77"/>
      <c r="T111" s="77"/>
      <c r="U111" s="77"/>
    </row>
    <row r="112" spans="1:21" s="79" customFormat="1">
      <c r="A112" s="77"/>
      <c r="B112" s="77"/>
      <c r="C112" s="77"/>
      <c r="D112" s="77" t="s">
        <v>401</v>
      </c>
      <c r="E112" s="78"/>
      <c r="F112" s="78"/>
      <c r="G112" s="77"/>
      <c r="H112" s="77"/>
      <c r="I112" s="77"/>
      <c r="J112" s="77"/>
      <c r="K112" s="77"/>
      <c r="L112" s="77"/>
      <c r="M112" s="78"/>
      <c r="N112" s="78"/>
      <c r="O112" s="277"/>
      <c r="P112" s="77"/>
      <c r="Q112" s="77"/>
      <c r="R112" s="77"/>
      <c r="S112" s="77"/>
      <c r="T112" s="77"/>
      <c r="U112" s="77"/>
    </row>
    <row r="113" spans="1:21" s="79" customFormat="1">
      <c r="A113" s="77"/>
      <c r="B113" s="77"/>
      <c r="C113" s="77"/>
      <c r="D113" s="77" t="s">
        <v>402</v>
      </c>
      <c r="E113" s="78"/>
      <c r="F113" s="78"/>
      <c r="G113" s="77"/>
      <c r="H113" s="77"/>
      <c r="I113" s="77"/>
      <c r="J113" s="77"/>
      <c r="K113" s="77"/>
      <c r="L113" s="77"/>
      <c r="M113" s="78"/>
      <c r="N113" s="78"/>
      <c r="O113" s="277"/>
      <c r="P113" s="77"/>
      <c r="Q113" s="77"/>
      <c r="R113" s="77"/>
      <c r="S113" s="77"/>
      <c r="T113" s="77"/>
      <c r="U113" s="77"/>
    </row>
    <row r="114" spans="1:21" s="79" customFormat="1">
      <c r="A114" s="77"/>
      <c r="B114" s="77"/>
      <c r="C114" s="77"/>
      <c r="D114" s="77" t="s">
        <v>403</v>
      </c>
      <c r="E114" s="78"/>
      <c r="F114" s="78"/>
      <c r="G114" s="77"/>
      <c r="H114" s="77"/>
      <c r="I114" s="77"/>
      <c r="J114" s="77"/>
      <c r="K114" s="77"/>
      <c r="L114" s="77"/>
      <c r="M114" s="78"/>
      <c r="N114" s="78"/>
      <c r="O114" s="277"/>
      <c r="P114" s="77"/>
      <c r="Q114" s="77"/>
      <c r="R114" s="77"/>
      <c r="S114" s="77"/>
      <c r="T114" s="77"/>
      <c r="U114" s="77"/>
    </row>
    <row r="115" spans="1:21" s="79" customFormat="1">
      <c r="A115" s="77"/>
      <c r="B115" s="77"/>
      <c r="C115" s="77"/>
      <c r="D115" s="77" t="s">
        <v>404</v>
      </c>
      <c r="E115" s="78"/>
      <c r="F115" s="78"/>
      <c r="G115" s="77"/>
      <c r="H115" s="77"/>
      <c r="I115" s="77"/>
      <c r="J115" s="77"/>
      <c r="K115" s="77"/>
      <c r="L115" s="77"/>
      <c r="M115" s="78"/>
      <c r="N115" s="78"/>
      <c r="O115" s="277"/>
      <c r="P115" s="77"/>
      <c r="Q115" s="77"/>
      <c r="R115" s="77"/>
      <c r="S115" s="77"/>
      <c r="T115" s="77"/>
      <c r="U115" s="77"/>
    </row>
    <row r="116" spans="1:21" s="79" customFormat="1">
      <c r="A116" s="77"/>
      <c r="B116" s="77"/>
      <c r="C116" s="77"/>
      <c r="D116" s="77" t="s">
        <v>405</v>
      </c>
      <c r="E116" s="78"/>
      <c r="F116" s="78"/>
      <c r="G116" s="77"/>
      <c r="H116" s="77"/>
      <c r="I116" s="77"/>
      <c r="J116" s="77"/>
      <c r="K116" s="77"/>
      <c r="L116" s="77"/>
      <c r="M116" s="78"/>
      <c r="N116" s="78"/>
      <c r="O116" s="277"/>
      <c r="P116" s="77"/>
      <c r="Q116" s="77"/>
      <c r="R116" s="77"/>
      <c r="S116" s="77"/>
      <c r="T116" s="77"/>
      <c r="U116" s="77"/>
    </row>
    <row r="117" spans="1:21">
      <c r="A117" s="25"/>
      <c r="B117" s="26"/>
      <c r="C117" s="25"/>
      <c r="D117" s="25"/>
      <c r="E117" s="27"/>
      <c r="F117" s="27"/>
      <c r="G117" s="25"/>
      <c r="H117" s="26"/>
      <c r="I117" s="26"/>
      <c r="J117" s="26"/>
      <c r="K117" s="26"/>
      <c r="L117" s="25"/>
      <c r="M117" s="27"/>
      <c r="N117" s="27"/>
      <c r="O117" s="276"/>
      <c r="P117" s="26"/>
    </row>
    <row r="118" spans="1:21">
      <c r="A118" s="25"/>
      <c r="B118" s="26"/>
      <c r="C118" s="25"/>
      <c r="D118" s="25"/>
      <c r="E118" s="27"/>
      <c r="F118" s="27"/>
      <c r="G118" s="25"/>
      <c r="H118" s="26"/>
      <c r="I118" s="26"/>
      <c r="J118" s="26"/>
      <c r="K118" s="26"/>
      <c r="L118" s="25"/>
      <c r="M118" s="27"/>
      <c r="N118" s="27"/>
      <c r="O118" s="276"/>
      <c r="P118" s="26"/>
    </row>
    <row r="119" spans="1:21">
      <c r="A119" s="25"/>
      <c r="B119" s="26"/>
      <c r="C119" s="25"/>
      <c r="D119" s="25"/>
      <c r="E119" s="27"/>
      <c r="F119" s="27"/>
      <c r="G119" s="25"/>
      <c r="H119" s="26"/>
      <c r="I119" s="26"/>
      <c r="J119" s="26"/>
      <c r="K119" s="26"/>
      <c r="L119" s="25"/>
      <c r="M119" s="27"/>
      <c r="N119" s="27"/>
      <c r="O119" s="276"/>
      <c r="P119" s="26"/>
    </row>
    <row r="120" spans="1:21" s="39" customFormat="1">
      <c r="A120" s="278"/>
      <c r="B120" s="89" t="s">
        <v>397</v>
      </c>
      <c r="C120" s="159"/>
      <c r="D120" s="89"/>
      <c r="E120" s="88"/>
      <c r="F120" s="88"/>
      <c r="I120" s="88"/>
      <c r="J120" s="333"/>
      <c r="K120" s="333"/>
      <c r="L120" s="333"/>
      <c r="M120" s="279" t="s">
        <v>396</v>
      </c>
      <c r="T120" s="41"/>
    </row>
    <row r="121" spans="1:21" s="39" customFormat="1">
      <c r="A121" s="278"/>
      <c r="B121" s="89" t="s">
        <v>647</v>
      </c>
      <c r="C121" s="159"/>
      <c r="D121" s="89"/>
      <c r="E121" s="88"/>
      <c r="F121" s="88"/>
      <c r="I121" s="88"/>
      <c r="J121" s="333"/>
      <c r="K121" s="333"/>
      <c r="L121" s="333"/>
      <c r="M121" s="279" t="s">
        <v>75</v>
      </c>
      <c r="T121" s="41"/>
    </row>
    <row r="122" spans="1:21" s="39" customFormat="1">
      <c r="A122" s="43"/>
      <c r="B122" s="89" t="s">
        <v>649</v>
      </c>
      <c r="C122" s="41"/>
      <c r="D122" s="89"/>
      <c r="J122" s="333"/>
      <c r="K122" s="333"/>
      <c r="L122" s="333"/>
      <c r="M122" s="279" t="s">
        <v>74</v>
      </c>
      <c r="S122" s="43"/>
      <c r="T122" s="41"/>
    </row>
    <row r="123" spans="1:21" s="43" customFormat="1">
      <c r="B123" s="89" t="s">
        <v>648</v>
      </c>
      <c r="G123" s="280"/>
    </row>
    <row r="124" spans="1:21">
      <c r="A124" s="25"/>
      <c r="B124" s="26"/>
      <c r="C124" s="25"/>
      <c r="D124" s="25"/>
      <c r="E124" s="27"/>
      <c r="F124" s="27"/>
      <c r="G124" s="25"/>
      <c r="H124" s="25"/>
      <c r="I124" s="25"/>
      <c r="J124" s="25"/>
      <c r="K124" s="25"/>
      <c r="L124" s="25"/>
      <c r="M124" s="27"/>
      <c r="N124" s="27"/>
      <c r="O124" s="276"/>
      <c r="P124" s="26"/>
    </row>
    <row r="125" spans="1:21">
      <c r="A125" s="25"/>
      <c r="B125" s="26"/>
      <c r="C125" s="25"/>
      <c r="D125" s="25"/>
      <c r="E125" s="27"/>
      <c r="F125" s="27"/>
      <c r="G125" s="25"/>
      <c r="H125" s="25"/>
      <c r="I125" s="25"/>
      <c r="J125" s="25"/>
      <c r="K125" s="25"/>
      <c r="L125" s="25"/>
      <c r="M125" s="27"/>
      <c r="N125" s="27"/>
      <c r="O125" s="276"/>
      <c r="P125" s="26"/>
    </row>
    <row r="126" spans="1:21">
      <c r="A126" s="25"/>
      <c r="B126" s="26"/>
      <c r="C126" s="25"/>
      <c r="D126" s="25"/>
      <c r="E126" s="27"/>
      <c r="F126" s="27"/>
      <c r="G126" s="25"/>
      <c r="H126" s="25"/>
      <c r="I126" s="25"/>
      <c r="J126" s="25"/>
      <c r="K126" s="25"/>
      <c r="L126" s="25"/>
      <c r="M126" s="27"/>
      <c r="N126" s="27"/>
      <c r="O126" s="276"/>
      <c r="P126" s="26"/>
    </row>
    <row r="127" spans="1:21">
      <c r="A127" s="25"/>
      <c r="B127" s="26"/>
      <c r="C127" s="25"/>
      <c r="D127" s="25"/>
      <c r="E127" s="27"/>
      <c r="F127" s="27"/>
      <c r="G127" s="25"/>
      <c r="H127" s="25"/>
      <c r="I127" s="25"/>
      <c r="J127" s="25"/>
      <c r="K127" s="25"/>
      <c r="L127" s="25"/>
      <c r="M127" s="27"/>
      <c r="N127" s="27"/>
      <c r="O127" s="276"/>
      <c r="P127" s="26"/>
    </row>
    <row r="128" spans="1:21">
      <c r="A128" s="25"/>
      <c r="B128" s="26"/>
      <c r="C128" s="25"/>
      <c r="D128" s="25"/>
      <c r="E128" s="27"/>
      <c r="F128" s="27"/>
      <c r="G128" s="25"/>
      <c r="H128" s="25"/>
      <c r="I128" s="25"/>
      <c r="J128" s="25"/>
      <c r="K128" s="25"/>
      <c r="L128" s="25"/>
      <c r="M128" s="27"/>
      <c r="N128" s="27"/>
      <c r="O128" s="276"/>
      <c r="P128" s="26"/>
    </row>
    <row r="129" spans="1:16">
      <c r="A129" s="25"/>
      <c r="B129" s="26"/>
      <c r="C129" s="25"/>
      <c r="D129" s="25"/>
      <c r="E129" s="27"/>
      <c r="F129" s="27"/>
      <c r="G129" s="25"/>
      <c r="H129" s="25"/>
      <c r="I129" s="25"/>
      <c r="J129" s="25"/>
      <c r="K129" s="25"/>
      <c r="L129" s="25"/>
      <c r="M129" s="27"/>
      <c r="N129" s="27"/>
      <c r="O129" s="276"/>
      <c r="P129" s="26"/>
    </row>
    <row r="130" spans="1:16">
      <c r="A130" s="25"/>
      <c r="B130" s="26"/>
      <c r="C130" s="25"/>
      <c r="D130" s="25"/>
      <c r="E130" s="27"/>
      <c r="F130" s="27"/>
      <c r="G130" s="25"/>
      <c r="H130" s="25"/>
      <c r="I130" s="25"/>
      <c r="J130" s="25"/>
      <c r="K130" s="25"/>
      <c r="L130" s="25"/>
      <c r="M130" s="27"/>
      <c r="N130" s="27"/>
      <c r="O130" s="276"/>
      <c r="P130" s="26"/>
    </row>
    <row r="131" spans="1:16">
      <c r="A131" s="25"/>
      <c r="B131" s="26"/>
      <c r="C131" s="25"/>
      <c r="D131" s="25"/>
      <c r="E131" s="27"/>
      <c r="F131" s="27"/>
      <c r="G131" s="25"/>
      <c r="H131" s="25"/>
      <c r="I131" s="25"/>
      <c r="J131" s="25"/>
      <c r="K131" s="25"/>
      <c r="L131" s="25"/>
      <c r="M131" s="27"/>
      <c r="N131" s="27"/>
      <c r="O131" s="276"/>
      <c r="P131" s="26"/>
    </row>
    <row r="132" spans="1:16">
      <c r="A132" s="25"/>
      <c r="B132" s="26"/>
      <c r="C132" s="25"/>
      <c r="D132" s="25"/>
      <c r="E132" s="27"/>
      <c r="F132" s="27"/>
      <c r="G132" s="25"/>
      <c r="H132" s="25"/>
      <c r="I132" s="25"/>
      <c r="J132" s="25"/>
      <c r="K132" s="25"/>
      <c r="L132" s="25"/>
      <c r="M132" s="27"/>
      <c r="N132" s="27"/>
      <c r="O132" s="276"/>
      <c r="P132" s="26"/>
    </row>
    <row r="133" spans="1:16">
      <c r="A133" s="25"/>
      <c r="B133" s="26"/>
      <c r="C133" s="25"/>
      <c r="D133" s="25"/>
      <c r="E133" s="27"/>
      <c r="F133" s="27"/>
      <c r="G133" s="25"/>
      <c r="H133" s="25"/>
      <c r="I133" s="25"/>
      <c r="J133" s="25"/>
      <c r="K133" s="25"/>
      <c r="L133" s="25"/>
      <c r="M133" s="27"/>
      <c r="N133" s="27"/>
      <c r="O133" s="276"/>
      <c r="P133" s="26"/>
    </row>
    <row r="134" spans="1:16">
      <c r="A134" s="25"/>
      <c r="B134" s="26"/>
      <c r="C134" s="25"/>
      <c r="D134" s="25"/>
      <c r="E134" s="27"/>
      <c r="F134" s="27"/>
      <c r="G134" s="25"/>
      <c r="H134" s="25"/>
      <c r="I134" s="25"/>
      <c r="J134" s="25"/>
      <c r="K134" s="25"/>
      <c r="L134" s="25"/>
      <c r="M134" s="27"/>
      <c r="N134" s="27"/>
      <c r="O134" s="276"/>
      <c r="P134" s="26"/>
    </row>
    <row r="135" spans="1:16">
      <c r="A135" s="25"/>
      <c r="B135" s="26"/>
      <c r="C135" s="25"/>
      <c r="D135" s="25"/>
      <c r="E135" s="27"/>
      <c r="F135" s="27"/>
      <c r="G135" s="25"/>
      <c r="H135" s="25"/>
      <c r="I135" s="25"/>
      <c r="J135" s="25"/>
      <c r="K135" s="25"/>
      <c r="L135" s="25"/>
      <c r="M135" s="27"/>
      <c r="N135" s="27"/>
      <c r="O135" s="276"/>
      <c r="P135" s="26"/>
    </row>
    <row r="174" spans="3:3">
      <c r="C174" s="25"/>
    </row>
  </sheetData>
  <mergeCells count="20">
    <mergeCell ref="N2:P2"/>
    <mergeCell ref="C3:L3"/>
    <mergeCell ref="N3:P3"/>
    <mergeCell ref="C4:L4"/>
    <mergeCell ref="N4:P4"/>
    <mergeCell ref="J120:L120"/>
    <mergeCell ref="J121:L121"/>
    <mergeCell ref="J122:L122"/>
    <mergeCell ref="P6:P7"/>
    <mergeCell ref="A6:A7"/>
    <mergeCell ref="B6:B7"/>
    <mergeCell ref="C6:C7"/>
    <mergeCell ref="D6:D7"/>
    <mergeCell ref="O6:O7"/>
    <mergeCell ref="M6:M7"/>
    <mergeCell ref="N6:N7"/>
    <mergeCell ref="E6:E7"/>
    <mergeCell ref="F6:F7"/>
    <mergeCell ref="G6:G7"/>
    <mergeCell ref="H6:L6"/>
  </mergeCells>
  <phoneticPr fontId="0" type="noConversion"/>
  <pageMargins left="0.55118110236220474" right="0.15748031496062992" top="0.43307086614173229" bottom="0.39370078740157483" header="0.51181102362204722" footer="0.51181102362204722"/>
  <pageSetup paperSize="9" scale="74" orientation="landscape" r:id="rId1"/>
  <headerFooter alignWithMargins="0">
    <oddHeader>&amp;Rแผ่นที่  &amp;P</oddHeader>
  </headerFooter>
  <rowBreaks count="2" manualBreakCount="2">
    <brk id="97" max="15" man="1"/>
    <brk id="12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20</vt:i4>
      </vt:variant>
      <vt:variant>
        <vt:lpstr>ช่วงที่มีชื่อ</vt:lpstr>
      </vt:variant>
      <vt:variant>
        <vt:i4>23</vt:i4>
      </vt:variant>
    </vt:vector>
  </HeadingPairs>
  <TitlesOfParts>
    <vt:vector size="43" baseType="lpstr">
      <vt:lpstr>ผด1สนป.</vt:lpstr>
      <vt:lpstr>ผด.1คลัง</vt:lpstr>
      <vt:lpstr>ผด.1ศึกษา</vt:lpstr>
      <vt:lpstr>ผด.1กองช่าง</vt:lpstr>
      <vt:lpstr>ผด2</vt:lpstr>
      <vt:lpstr>เงินอุดหนุนเฉพาะกิจ</vt:lpstr>
      <vt:lpstr>แผนเพิ่มเติม</vt:lpstr>
      <vt:lpstr>ผด3ไตร1</vt:lpstr>
      <vt:lpstr>ผด3ไตร2</vt:lpstr>
      <vt:lpstr>ผด3ไตร3</vt:lpstr>
      <vt:lpstr>รายการ</vt:lpstr>
      <vt:lpstr>สรุปแผน2-60</vt:lpstr>
      <vt:lpstr>ทำสรุปส่งอำเภอ</vt:lpstr>
      <vt:lpstr>ผด4ไม่ส่งทำเก็บไว้</vt:lpstr>
      <vt:lpstr>ผด5ครุภัณฑ์เกินแสนที่ดินเกินล้า</vt:lpstr>
      <vt:lpstr>ผด6</vt:lpstr>
      <vt:lpstr>สตงไตร1</vt:lpstr>
      <vt:lpstr>งวด1</vt:lpstr>
      <vt:lpstr>งวด2</vt:lpstr>
      <vt:lpstr>งวด3</vt:lpstr>
      <vt:lpstr>เงินอุดหนุนเฉพาะกิจ!Print_Area</vt:lpstr>
      <vt:lpstr>ทำสรุปส่งอำเภอ!Print_Area</vt:lpstr>
      <vt:lpstr>ผด.1กองช่าง!Print_Area</vt:lpstr>
      <vt:lpstr>ผด.1คลัง!Print_Area</vt:lpstr>
      <vt:lpstr>ผด.1ศึกษา!Print_Area</vt:lpstr>
      <vt:lpstr>ผด1สนป.!Print_Area</vt:lpstr>
      <vt:lpstr>ผด3ไตร1!Print_Area</vt:lpstr>
      <vt:lpstr>ผด3ไตร2!Print_Area</vt:lpstr>
      <vt:lpstr>ผด3ไตร3!Print_Area</vt:lpstr>
      <vt:lpstr>ผด4ไม่ส่งทำเก็บไว้!Print_Area</vt:lpstr>
      <vt:lpstr>ผด6!Print_Area</vt:lpstr>
      <vt:lpstr>แผนเพิ่มเติม!Print_Area</vt:lpstr>
      <vt:lpstr>ทำสรุปส่งอำเภอ!Print_Titles</vt:lpstr>
      <vt:lpstr>ผด.1กองช่าง!Print_Titles</vt:lpstr>
      <vt:lpstr>ผด.1คลัง!Print_Titles</vt:lpstr>
      <vt:lpstr>ผด.1ศึกษา!Print_Titles</vt:lpstr>
      <vt:lpstr>ผด1สนป.!Print_Titles</vt:lpstr>
      <vt:lpstr>ผด2!Print_Titles</vt:lpstr>
      <vt:lpstr>ผด3ไตร1!Print_Titles</vt:lpstr>
      <vt:lpstr>ผด3ไตร2!Print_Titles</vt:lpstr>
      <vt:lpstr>ผด3ไตร3!Print_Titles</vt:lpstr>
      <vt:lpstr>ผด4ไม่ส่งทำเก็บไว้!Print_Titles</vt:lpstr>
      <vt:lpstr>แผนเพิ่มเติม!Print_Titles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KKD Windows 7 V.3</cp:lastModifiedBy>
  <cp:lastPrinted>2018-07-05T07:35:17Z</cp:lastPrinted>
  <dcterms:created xsi:type="dcterms:W3CDTF">2005-06-24T17:22:06Z</dcterms:created>
  <dcterms:modified xsi:type="dcterms:W3CDTF">2018-07-05T07:40:26Z</dcterms:modified>
</cp:coreProperties>
</file>